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841CE56A-664E-4F60-8CDB-CAAE36892F23}" xr6:coauthVersionLast="47" xr6:coauthVersionMax="47" xr10:uidLastSave="{00000000-0000-0000-0000-000000000000}"/>
  <bookViews>
    <workbookView xWindow="-21345" yWindow="0" windowWidth="21600" windowHeight="11325" xr2:uid="{E22A046F-3BFD-4D21-8907-2311D1B01B7F}"/>
  </bookViews>
  <sheets>
    <sheet name="NOVATO FORECAST" sheetId="1" r:id="rId1"/>
  </sheets>
  <definedNames>
    <definedName name="_xlnm.Print_Area" localSheetId="0">'NOVATO FORECAST'!$A$1:$AF$52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8" i="1" l="1"/>
  <c r="M88" i="1"/>
  <c r="K88" i="1"/>
  <c r="I88" i="1"/>
  <c r="G88" i="1"/>
  <c r="O87" i="1"/>
  <c r="M87" i="1"/>
  <c r="K87" i="1"/>
  <c r="I87" i="1"/>
  <c r="G87" i="1"/>
  <c r="O86" i="1"/>
  <c r="M86" i="1"/>
  <c r="K86" i="1"/>
  <c r="I86" i="1"/>
  <c r="G86" i="1"/>
  <c r="I63" i="1" l="1"/>
  <c r="K63" i="1" s="1"/>
  <c r="M63" i="1" s="1"/>
  <c r="O63" i="1" s="1"/>
  <c r="O85" i="1" l="1"/>
  <c r="O84" i="1"/>
  <c r="O83" i="1"/>
  <c r="O82" i="1"/>
  <c r="M85" i="1"/>
  <c r="M84" i="1"/>
  <c r="M83" i="1"/>
  <c r="M82" i="1"/>
  <c r="K85" i="1"/>
  <c r="K84" i="1"/>
  <c r="K83" i="1"/>
  <c r="K82" i="1"/>
  <c r="I85" i="1"/>
  <c r="I84" i="1"/>
  <c r="I83" i="1"/>
  <c r="I82" i="1"/>
  <c r="G85" i="1"/>
  <c r="G84" i="1"/>
  <c r="G83" i="1"/>
  <c r="G82" i="1"/>
  <c r="G76" i="1"/>
  <c r="I76" i="1" s="1"/>
  <c r="K76" i="1" s="1"/>
  <c r="M76" i="1" s="1"/>
  <c r="O76" i="1" s="1"/>
  <c r="E62" i="1"/>
  <c r="G62" i="1" s="1"/>
  <c r="I62" i="1" s="1"/>
  <c r="K62" i="1" s="1"/>
  <c r="M62" i="1" s="1"/>
  <c r="O62" i="1" s="1"/>
  <c r="G61" i="1"/>
  <c r="I61" i="1" s="1"/>
  <c r="K61" i="1" s="1"/>
  <c r="M61" i="1" s="1"/>
  <c r="O61" i="1" s="1"/>
  <c r="E78" i="1"/>
  <c r="G78" i="1" s="1"/>
  <c r="I78" i="1" s="1"/>
  <c r="K78" i="1" s="1"/>
  <c r="M78" i="1" s="1"/>
  <c r="O78" i="1" s="1"/>
  <c r="O75" i="1"/>
  <c r="M75" i="1"/>
  <c r="K75" i="1"/>
  <c r="I75" i="1"/>
  <c r="G75" i="1"/>
  <c r="E75" i="1"/>
  <c r="E60" i="1"/>
  <c r="G60" i="1" s="1"/>
  <c r="I60" i="1" s="1"/>
  <c r="K60" i="1" s="1"/>
  <c r="O91" i="1" l="1"/>
  <c r="O96" i="1" s="1"/>
  <c r="O102" i="1" s="1"/>
  <c r="M91" i="1"/>
  <c r="M96" i="1" s="1"/>
  <c r="M102" i="1" s="1"/>
  <c r="G91" i="1"/>
  <c r="G96" i="1" s="1"/>
  <c r="G102" i="1" s="1"/>
  <c r="I91" i="1"/>
  <c r="I96" i="1" s="1"/>
  <c r="I102" i="1" s="1"/>
  <c r="K91" i="1"/>
  <c r="K96" i="1" s="1"/>
  <c r="K102" i="1" s="1"/>
  <c r="I69" i="1"/>
  <c r="I95" i="1" s="1"/>
  <c r="E69" i="1"/>
  <c r="E95" i="1" s="1"/>
  <c r="G69" i="1"/>
  <c r="G95" i="1" s="1"/>
  <c r="M60" i="1"/>
  <c r="E91" i="1"/>
  <c r="E96" i="1" s="1"/>
  <c r="E102" i="1" s="1"/>
  <c r="I97" i="1" l="1"/>
  <c r="E97" i="1"/>
  <c r="G97" i="1"/>
  <c r="G101" i="1" s="1"/>
  <c r="K69" i="1"/>
  <c r="K95" i="1" s="1"/>
  <c r="K97" i="1" s="1"/>
  <c r="O60" i="1"/>
  <c r="O69" i="1" s="1"/>
  <c r="O95" i="1" s="1"/>
  <c r="O97" i="1" s="1"/>
  <c r="M69" i="1"/>
  <c r="M95" i="1" s="1"/>
  <c r="M97" i="1" s="1"/>
  <c r="I101" i="1" l="1"/>
  <c r="K101" i="1" s="1"/>
  <c r="M101" i="1" s="1"/>
  <c r="O101" i="1" s="1"/>
</calcChain>
</file>

<file path=xl/sharedStrings.xml><?xml version="1.0" encoding="utf-8"?>
<sst xmlns="http://schemas.openxmlformats.org/spreadsheetml/2006/main" count="177" uniqueCount="131">
  <si>
    <t>City of Novato</t>
  </si>
  <si>
    <t>Financial Dashboard Data Tables - General Fund</t>
  </si>
  <si>
    <t>Base Forecast - FY 2024-25 Budget</t>
  </si>
  <si>
    <t>REVENUE TYPES</t>
  </si>
  <si>
    <t>FACTOR</t>
  </si>
  <si>
    <t>FY 2024-25</t>
  </si>
  <si>
    <t>CM BUDGET</t>
  </si>
  <si>
    <t>FY 2025-26</t>
  </si>
  <si>
    <t>FORECAST</t>
  </si>
  <si>
    <t>FY 2026-27</t>
  </si>
  <si>
    <t>FY 2027-28</t>
  </si>
  <si>
    <t>FY 2028-29</t>
  </si>
  <si>
    <t>FY 2029-30</t>
  </si>
  <si>
    <t>Property Tax</t>
  </si>
  <si>
    <t>Sales Tax</t>
  </si>
  <si>
    <t>Transient Occupancy Tax</t>
  </si>
  <si>
    <t>All Other Revenues</t>
  </si>
  <si>
    <t>Total Revenues</t>
  </si>
  <si>
    <t>EXPENDITURE TYPES</t>
  </si>
  <si>
    <t>Labor Costs</t>
  </si>
  <si>
    <t>Measure M Sales Tax</t>
  </si>
  <si>
    <t>CalPERS UAL Costs</t>
  </si>
  <si>
    <t>Costs Impacted by Inflation</t>
  </si>
  <si>
    <t>Deferred Maintenance - Roads</t>
  </si>
  <si>
    <t>Deferred Maintenance - Other</t>
  </si>
  <si>
    <t>Vehicles &amp; Equipment</t>
  </si>
  <si>
    <t>Other Capital Projects</t>
  </si>
  <si>
    <t>Debt Service</t>
  </si>
  <si>
    <t>Other Costs - Fixed</t>
  </si>
  <si>
    <t>Total Expenditures</t>
  </si>
  <si>
    <t>PTAX</t>
  </si>
  <si>
    <t>SALES</t>
  </si>
  <si>
    <t>MEAS M</t>
  </si>
  <si>
    <t>Recreation Programs</t>
  </si>
  <si>
    <t>N/A</t>
  </si>
  <si>
    <t>LABOR</t>
  </si>
  <si>
    <t>UAL</t>
  </si>
  <si>
    <t>INF CST</t>
  </si>
  <si>
    <t>ROADS</t>
  </si>
  <si>
    <t>DM - OTH</t>
  </si>
  <si>
    <t>OUTLAY</t>
  </si>
  <si>
    <t>CAP</t>
  </si>
  <si>
    <t>Transfers In</t>
  </si>
  <si>
    <t>Labor MOU Increases</t>
  </si>
  <si>
    <t>Transfers Out</t>
  </si>
  <si>
    <t>Property Tax typically grows as home values increase and / or</t>
  </si>
  <si>
    <t>Annual Growth</t>
  </si>
  <si>
    <t>Percentages - Toggle</t>
  </si>
  <si>
    <t>new residential / commercial development is added to the tax base</t>
  </si>
  <si>
    <t>and/or new businesses with taxable products are added to the tax base</t>
  </si>
  <si>
    <t>Sales Tax typically grows as demand and prices for taxable goods rise</t>
  </si>
  <si>
    <t>Ballot Measure - November 2024</t>
  </si>
  <si>
    <t xml:space="preserve">The passage of Measure M will provide an additional $10.3 million for </t>
  </si>
  <si>
    <t xml:space="preserve">services such as fixing potholes / streets; maintaining 9-1-1 emergency </t>
  </si>
  <si>
    <t>response; crime / gang prevention; attracting / retaining small businesses;</t>
  </si>
  <si>
    <t>maintaining parks / recreation facilities; enhancing wildlife prevention;</t>
  </si>
  <si>
    <t>and repair aging storm drains.</t>
  </si>
  <si>
    <t>Measure M</t>
  </si>
  <si>
    <t>is Adopted?</t>
  </si>
  <si>
    <t>yes / No - Toggle</t>
  </si>
  <si>
    <t>YES</t>
  </si>
  <si>
    <t>NO</t>
  </si>
  <si>
    <t>Future City Key Revenue Sources</t>
  </si>
  <si>
    <t>Future City Key Expenditure / Cost Drivers</t>
  </si>
  <si>
    <t>Labor Costs / Cost-of-Living Adjustments</t>
  </si>
  <si>
    <t xml:space="preserve">Cost-of-Living salary adjustments are typically provided to </t>
  </si>
  <si>
    <t xml:space="preserve">employees each year subject to bargaining unit negotiations </t>
  </si>
  <si>
    <t>Annual Increase</t>
  </si>
  <si>
    <t>General Operating Costs</t>
  </si>
  <si>
    <t>General Operating Costs for materials / supplies / insurance /</t>
  </si>
  <si>
    <t>contracts / legal fees / etc. are typically impacted by inflationary</t>
  </si>
  <si>
    <t>price pressures</t>
  </si>
  <si>
    <t>Annual Inflation</t>
  </si>
  <si>
    <t>Deferred Maintenance / Capital Outlay and Projects</t>
  </si>
  <si>
    <t>towards the backlog of deferred maintenance on City buildings</t>
  </si>
  <si>
    <t>and infrastructure</t>
  </si>
  <si>
    <t>If available, the City can use discretionary General Fund funding</t>
  </si>
  <si>
    <t>Deferred Maintenance - City Facilities</t>
  </si>
  <si>
    <t xml:space="preserve"> - Note: City could benefit from an additional</t>
  </si>
  <si>
    <t xml:space="preserve">    $1 million (or more) annually </t>
  </si>
  <si>
    <t>Additional Funding</t>
  </si>
  <si>
    <t>Funding - Toggle</t>
  </si>
  <si>
    <t xml:space="preserve"> - Note: To maintain roads in good condition</t>
  </si>
  <si>
    <t xml:space="preserve">    City could benefit from additional funding</t>
  </si>
  <si>
    <t xml:space="preserve">    (need = $11 million annually to keep pace)</t>
  </si>
  <si>
    <t xml:space="preserve"> - Note: City is requried to maintain safe and </t>
  </si>
  <si>
    <t xml:space="preserve">    reliable equipment and apparatus necessary</t>
  </si>
  <si>
    <t xml:space="preserve">    to provide excellent service</t>
  </si>
  <si>
    <t>Capital Projects - Discretionary Funding</t>
  </si>
  <si>
    <t xml:space="preserve"> - Note: City could benefit from additional </t>
  </si>
  <si>
    <t xml:space="preserve">    contributions from General Fund towards</t>
  </si>
  <si>
    <t xml:space="preserve">    certain Citywide capital projects (matching)</t>
  </si>
  <si>
    <t>TOTAL REVENUES</t>
  </si>
  <si>
    <t>TOTAL EXPENDITURES</t>
  </si>
  <si>
    <t>FY 2024-25 CM BUDGET</t>
  </si>
  <si>
    <t>FY 2025-26 FORECAST</t>
  </si>
  <si>
    <t>FY 2026-27 FORECAST</t>
  </si>
  <si>
    <t>FY 2027-28 FORECAST</t>
  </si>
  <si>
    <t>FY 2028-29 FORECAST</t>
  </si>
  <si>
    <t>FY 2029-30 FORECAST</t>
  </si>
  <si>
    <t>SURPLUS / (DEFICIT)</t>
  </si>
  <si>
    <t>CITY OF NOVATO</t>
  </si>
  <si>
    <t>FORECASTING SCENARIOS - GENERAL FUND</t>
  </si>
  <si>
    <t>GENERAL FUND BALANCE</t>
  </si>
  <si>
    <t>City who stay in hotels / motels / AirBNB / VRBO for stays of 30</t>
  </si>
  <si>
    <t xml:space="preserve">Transient Occupancy Tax (TOT) is typically received from visitors to the </t>
  </si>
  <si>
    <t>days or less.  TOT will grow as move people travel to and stay in the City</t>
  </si>
  <si>
    <t>and/or as room rates increase over time.</t>
  </si>
  <si>
    <t>Service Level Reduction / Staff Reduction (Cost Savings)</t>
  </si>
  <si>
    <t>The City of Novato currently has 198 positions funded with the</t>
  </si>
  <si>
    <t>FY 2024-25 Adopted Budget.  On average, each of these positions</t>
  </si>
  <si>
    <t xml:space="preserve">costs the City ~ $142,500 annually to fully fund when considering  </t>
  </si>
  <si>
    <t>Total Positions</t>
  </si>
  <si>
    <t>Positions - Toggle</t>
  </si>
  <si>
    <t>Position Elimination</t>
  </si>
  <si>
    <t>salary and benefits costs borne by the City.  Depending on available</t>
  </si>
  <si>
    <t>funding, staffing levels could be augmented to provide higher levels of</t>
  </si>
  <si>
    <t>service or reduced to the extent funding is not available.</t>
  </si>
  <si>
    <t>Added to / Eliminated</t>
  </si>
  <si>
    <t>From Budget?</t>
  </si>
  <si>
    <t>Allocate Funding to Unfunded Liabilities</t>
  </si>
  <si>
    <t xml:space="preserve">The Cit y currently has unfunded liabilities related to pensions  </t>
  </si>
  <si>
    <t>and health care costs.  To the extent additional funding becomes</t>
  </si>
  <si>
    <t xml:space="preserve">available, the City could elect to set funding aside into an </t>
  </si>
  <si>
    <t>interest-bearing trust account to use in future years to mitigate</t>
  </si>
  <si>
    <t>potential impacts rising costs on service level reductions.</t>
  </si>
  <si>
    <t>UF Liabilities - Toggle</t>
  </si>
  <si>
    <t>UAL Funding</t>
  </si>
  <si>
    <t>Note: If Measure M Passes - $1 million is earmarked for annual capital investment</t>
  </si>
  <si>
    <t>Measure M Captial</t>
  </si>
  <si>
    <t>15% RESERVE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</si>
</sst>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0.0%"/>
    <numFmt numFmtId="165" formatCode="&quot;$&quot;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3" fillId="0" borderId="10" xfId="0" applyFont="1" applyBorder="1"/>
    <xf numFmtId="0" fontId="1" fillId="0" borderId="10" xfId="0" applyFont="1" applyBorder="1"/>
    <xf numFmtId="0" fontId="0" fillId="0" borderId="10" xfId="0" applyBorder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65" fontId="3" fillId="0" borderId="0" xfId="0" applyNumberFormat="1" applyFont="1" applyAlignment="1">
      <alignment horizontal="center" vertical="center"/>
    </xf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41" fontId="0" fillId="0" borderId="0" xfId="0" applyNumberFormat="1"/>
    <xf numFmtId="42" fontId="0" fillId="0" borderId="1" xfId="0" applyNumberFormat="1" applyBorder="1"/>
    <xf numFmtId="0" fontId="0" fillId="0" borderId="0" xfId="0" applyAlignment="1">
      <alignment horizontal="right"/>
    </xf>
    <xf numFmtId="42" fontId="0" fillId="0" borderId="3" xfId="0" applyNumberFormat="1" applyBorder="1"/>
    <xf numFmtId="41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right"/>
    </xf>
    <xf numFmtId="6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3" fillId="2" borderId="5" xfId="0" applyNumberFormat="1" applyFont="1" applyFill="1" applyBorder="1" applyAlignment="1" applyProtection="1">
      <alignment horizontal="center" vertical="center"/>
      <protection locked="0"/>
    </xf>
    <xf numFmtId="165" fontId="3" fillId="2" borderId="8" xfId="0" applyNumberFormat="1" applyFont="1" applyFill="1" applyBorder="1" applyAlignment="1" applyProtection="1">
      <alignment horizontal="center" vertical="center"/>
      <protection locked="0"/>
    </xf>
    <xf numFmtId="165" fontId="3" fillId="2" borderId="9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5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2" borderId="5" xfId="0" applyNumberFormat="1" applyFont="1" applyFill="1" applyBorder="1" applyAlignment="1" applyProtection="1">
      <alignment horizontal="center" vertical="center"/>
      <protection locked="0"/>
    </xf>
    <xf numFmtId="164" fontId="5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 u="sng"/>
              <a:t>General Fund Revenue and Expenditures</a:t>
            </a:r>
          </a:p>
        </c:rich>
      </c:tx>
      <c:layout>
        <c:manualLayout>
          <c:xMode val="edge"/>
          <c:yMode val="edge"/>
          <c:x val="0.25985900935233169"/>
          <c:y val="1.5942210763477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69537092697001"/>
          <c:y val="0.11175932553885309"/>
          <c:w val="0.71540310504921567"/>
          <c:h val="0.71926615233701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'NOVATO FORECAST'!$D$95</c:f>
              <c:strCache>
                <c:ptCount val="1"/>
                <c:pt idx="0">
                  <c:v>TOTAL REVENUES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'NOVATO FORECAST'!$E$94:$O$94</c15:sqref>
                  </c15:fullRef>
                </c:ext>
              </c:extLst>
              <c:f>('NOVATO FORECAST'!$E$94,'NOVATO FORECAST'!$G$94,'NOVATO FORECAST'!$I$94,'NOVATO FORECAST'!$K$94,'NOVATO FORECAST'!$M$94,'NOVATO FORECAST'!$O$94)</c:f>
              <c:strCache>
                <c:ptCount val="6"/>
                <c:pt idx="0">
                  <c:v>FY 2024-25 CM BUDGET</c:v>
                </c:pt>
                <c:pt idx="1">
                  <c:v>FY 2025-26 FORECAST</c:v>
                </c:pt>
                <c:pt idx="2">
                  <c:v>FY 2026-27 FORECAST</c:v>
                </c:pt>
                <c:pt idx="3">
                  <c:v>FY 2027-28 FORECAST</c:v>
                </c:pt>
                <c:pt idx="4">
                  <c:v>FY 2028-29 FORECAST</c:v>
                </c:pt>
                <c:pt idx="5">
                  <c:v>FY 2029-30 FORECAST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'NOVATO FORECAST'!$E$95:$O$95</c15:sqref>
                  </c15:fullRef>
                </c:ext>
              </c:extLst>
              <c:f>('NOVATO FORECAST'!$E$95,'NOVATO FORECAST'!$G$95,'NOVATO FORECAST'!$I$95,'NOVATO FORECAST'!$K$95,'NOVATO FORECAST'!$M$95,'NOVATO FORECAST'!$O$95)</c:f>
              <c:numCache>
                <c:formatCode>General</c:formatCode>
                <c:ptCount val="6"/>
                <c:pt idx="0" formatCode="_(&quot;$&quot;* #,##0_);_(&quot;$&quot;* \(#,##0\);_(&quot;$&quot;* &quot;-&quot;_);_(@_)">
                  <c:v>52877433</c:v>
                </c:pt>
                <c:pt idx="1" formatCode="_(&quot;$&quot;* #,##0_);_(&quot;$&quot;* \(#,##0\);_(&quot;$&quot;* &quot;-&quot;_);_(@_)">
                  <c:v>61547400.079999998</c:v>
                </c:pt>
                <c:pt idx="2" formatCode="_(&quot;$&quot;* #,##0_);_(&quot;$&quot;* \(#,##0\);_(&quot;$&quot;* &quot;-&quot;_);_(@_)">
                  <c:v>62390706.2016</c:v>
                </c:pt>
                <c:pt idx="3" formatCode="_(&quot;$&quot;* #,##0_);_(&quot;$&quot;* \(#,##0\);_(&quot;$&quot;* &quot;-&quot;_);_(@_)">
                  <c:v>63292318.945632003</c:v>
                </c:pt>
                <c:pt idx="4" formatCode="_(&quot;$&quot;* #,##0_);_(&quot;$&quot;* \(#,##0\);_(&quot;$&quot;* &quot;-&quot;_);_(@_)">
                  <c:v>64222257.764544643</c:v>
                </c:pt>
                <c:pt idx="5" formatCode="_(&quot;$&quot;* #,##0_);_(&quot;$&quot;* \(#,##0\);_(&quot;$&quot;* &quot;-&quot;_);_(@_)">
                  <c:v>65162192.119835526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B-485E-AD02-017D08B7A003}"/>
            </c:ext>
          </c:extLst>
        </c:ser>
        <c:ser>
          <c:idx val="1"/>
          <c:order val="1"/>
          <c:tx>
            <c:strRef>
              <c:f>'NOVATO FORECAST'!$D$96</c:f>
              <c:strCache>
                <c:ptCount val="1"/>
                <c:pt idx="0">
                  <c:v>TOTAL EXPENDITURES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'NOVATO FORECAST'!$E$94:$O$94</c15:sqref>
                  </c15:fullRef>
                </c:ext>
              </c:extLst>
              <c:f>('NOVATO FORECAST'!$E$94,'NOVATO FORECAST'!$G$94,'NOVATO FORECAST'!$I$94,'NOVATO FORECAST'!$K$94,'NOVATO FORECAST'!$M$94,'NOVATO FORECAST'!$O$94)</c:f>
              <c:strCache>
                <c:ptCount val="6"/>
                <c:pt idx="0">
                  <c:v>FY 2024-25 CM BUDGET</c:v>
                </c:pt>
                <c:pt idx="1">
                  <c:v>FY 2025-26 FORECAST</c:v>
                </c:pt>
                <c:pt idx="2">
                  <c:v>FY 2026-27 FORECAST</c:v>
                </c:pt>
                <c:pt idx="3">
                  <c:v>FY 2027-28 FORECAST</c:v>
                </c:pt>
                <c:pt idx="4">
                  <c:v>FY 2028-29 FORECAST</c:v>
                </c:pt>
                <c:pt idx="5">
                  <c:v>FY 2029-30 FORECAST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'NOVATO FORECAST'!$E$96:$O$96</c15:sqref>
                  </c15:fullRef>
                </c:ext>
              </c:extLst>
              <c:f>('NOVATO FORECAST'!$E$96,'NOVATO FORECAST'!$G$96,'NOVATO FORECAST'!$I$96,'NOVATO FORECAST'!$K$96,'NOVATO FORECAST'!$M$96,'NOVATO FORECAST'!$O$96)</c:f>
              <c:numCache>
                <c:formatCode>General</c:formatCode>
                <c:ptCount val="6"/>
                <c:pt idx="0" formatCode="_(&quot;$&quot;* #,##0_);_(&quot;$&quot;* \(#,##0\);_(&quot;$&quot;* &quot;-&quot;_);_(@_)">
                  <c:v>54348834</c:v>
                </c:pt>
                <c:pt idx="1" formatCode="_(&quot;$&quot;* #,##0_);_(&quot;$&quot;* \(#,##0\);_(&quot;$&quot;* &quot;-&quot;_);_(@_)">
                  <c:v>59862827.960000001</c:v>
                </c:pt>
                <c:pt idx="2" formatCode="_(&quot;$&quot;* #,##0_);_(&quot;$&quot;* \(#,##0\);_(&quot;$&quot;* &quot;-&quot;_);_(@_)">
                  <c:v>60759263.379199997</c:v>
                </c:pt>
                <c:pt idx="3" formatCode="_(&quot;$&quot;* #,##0_);_(&quot;$&quot;* \(#,##0\);_(&quot;$&quot;* &quot;-&quot;_);_(@_)">
                  <c:v>61574370.726784006</c:v>
                </c:pt>
                <c:pt idx="4" formatCode="_(&quot;$&quot;* #,##0_);_(&quot;$&quot;* \(#,##0\);_(&quot;$&quot;* &quot;-&quot;_);_(@_)">
                  <c:v>62851903.293319672</c:v>
                </c:pt>
                <c:pt idx="5" formatCode="_(&quot;$&quot;* #,##0_);_(&quot;$&quot;* \(#,##0\);_(&quot;$&quot;* &quot;-&quot;_);_(@_)">
                  <c:v>63496701.322546072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B-485E-AD02-017D08B7A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471854008"/>
        <c:axId val="471854336"/>
      </c:barChart>
      <c:lineChart>
        <c:grouping val="standard"/>
        <c:varyColors val="0"/>
        <c:ser>
          <c:idx val="2"/>
          <c:order val="2"/>
          <c:tx>
            <c:strRef>
              <c:f>'NOVATO FORECAST'!$D$97</c:f>
              <c:strCache>
                <c:ptCount val="1"/>
                <c:pt idx="0">
                  <c:v>SURPLUS / (DEFICIT)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'NOVATO FORECAST'!$E$94:$O$94</c15:sqref>
                  </c15:fullRef>
                </c:ext>
              </c:extLst>
              <c:f>('NOVATO FORECAST'!$E$94,'NOVATO FORECAST'!$G$94,'NOVATO FORECAST'!$I$94,'NOVATO FORECAST'!$K$94,'NOVATO FORECAST'!$M$94,'NOVATO FORECAST'!$O$94)</c:f>
              <c:strCache>
                <c:ptCount val="6"/>
                <c:pt idx="0">
                  <c:v>FY 2024-25 CM BUDGET</c:v>
                </c:pt>
                <c:pt idx="1">
                  <c:v>FY 2025-26 FORECAST</c:v>
                </c:pt>
                <c:pt idx="2">
                  <c:v>FY 2026-27 FORECAST</c:v>
                </c:pt>
                <c:pt idx="3">
                  <c:v>FY 2027-28 FORECAST</c:v>
                </c:pt>
                <c:pt idx="4">
                  <c:v>FY 2028-29 FORECAST</c:v>
                </c:pt>
                <c:pt idx="5">
                  <c:v>FY 2029-30 FORECAST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'NOVATO FORECAST'!$E$97:$O$97</c15:sqref>
                  </c15:fullRef>
                </c:ext>
              </c:extLst>
              <c:f>('NOVATO FORECAST'!$E$97,'NOVATO FORECAST'!$G$97,'NOVATO FORECAST'!$I$97,'NOVATO FORECAST'!$K$97,'NOVATO FORECAST'!$M$97,'NOVATO FORECAST'!$O$97)</c:f>
              <c:numCache>
                <c:formatCode>"$"#,##0_);[Red]\("$"#,##0\)</c:formatCode>
                <c:ptCount val="6"/>
                <c:pt idx="0">
                  <c:v>-1471401</c:v>
                </c:pt>
                <c:pt idx="1">
                  <c:v>1684572.1199999973</c:v>
                </c:pt>
                <c:pt idx="2">
                  <c:v>1631442.8224000037</c:v>
                </c:pt>
                <c:pt idx="3">
                  <c:v>1717948.2188479975</c:v>
                </c:pt>
                <c:pt idx="4">
                  <c:v>1370354.4712249711</c:v>
                </c:pt>
                <c:pt idx="5">
                  <c:v>1665490.7972894534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133B-485E-AD02-017D08B7A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933824"/>
        <c:axId val="384932512"/>
      </c:lineChart>
      <c:valAx>
        <c:axId val="471854336"/>
        <c:scaling>
          <c:orientation val="minMax"/>
          <c:max val="70000000"/>
          <c:min val="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Annual Revenues / Expenditures</a:t>
                </a:r>
              </a:p>
            </c:rich>
          </c:tx>
          <c:layout>
            <c:manualLayout>
              <c:xMode val="edge"/>
              <c:yMode val="edge"/>
              <c:x val="0.96292209652316796"/>
              <c:y val="0.26364459724224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54008"/>
        <c:crosses val="max"/>
        <c:crossBetween val="between"/>
        <c:majorUnit val="10000000"/>
      </c:valAx>
      <c:catAx>
        <c:axId val="471854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54336"/>
        <c:crosses val="autoZero"/>
        <c:auto val="1"/>
        <c:lblAlgn val="ctr"/>
        <c:lblOffset val="100"/>
        <c:noMultiLvlLbl val="0"/>
      </c:catAx>
      <c:valAx>
        <c:axId val="384932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Annual Surplus / (Deficit)</a:t>
                </a:r>
              </a:p>
            </c:rich>
          </c:tx>
          <c:layout>
            <c:manualLayout>
              <c:xMode val="edge"/>
              <c:yMode val="edge"/>
              <c:x val="7.2866557956682201E-3"/>
              <c:y val="0.285198329082104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933824"/>
        <c:crosses val="autoZero"/>
        <c:crossBetween val="between"/>
      </c:valAx>
      <c:catAx>
        <c:axId val="38493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93251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69907878505902"/>
          <c:y val="0.93134220291429093"/>
          <c:w val="0.67068333913917577"/>
          <c:h val="5.5911689037061507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sng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General Fund Balance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'NOVATO FORECAST'!$D$101</c:f>
              <c:strCache>
                <c:ptCount val="1"/>
                <c:pt idx="0">
                  <c:v>GENERAL FUND BALANCE</c:v>
                </c:pt>
              </c:strCache>
            </c:strRef>
          </c:tx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'NOVATO FORECAST'!$E$100:$O$100</c15:sqref>
                  </c15:fullRef>
                </c:ext>
              </c:extLst>
              <c:f>('NOVATO FORECAST'!$E$100,'NOVATO FORECAST'!$G$100,'NOVATO FORECAST'!$I$100,'NOVATO FORECAST'!$K$100,'NOVATO FORECAST'!$M$100,'NOVATO FORECAST'!$O$100)</c:f>
              <c:strCache>
                <c:ptCount val="6"/>
                <c:pt idx="0">
                  <c:v>FY 2024-25 CM BUDGET</c:v>
                </c:pt>
                <c:pt idx="1">
                  <c:v>FY 2025-26 FORECAST</c:v>
                </c:pt>
                <c:pt idx="2">
                  <c:v>FY 2026-27 FORECAST</c:v>
                </c:pt>
                <c:pt idx="3">
                  <c:v>FY 2027-28 FORECAST</c:v>
                </c:pt>
                <c:pt idx="4">
                  <c:v>FY 2028-29 FORECAST</c:v>
                </c:pt>
                <c:pt idx="5">
                  <c:v>FY 2029-30 FORECAST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'NOVATO FORECAST'!$E$101:$O$101</c15:sqref>
                  </c15:fullRef>
                </c:ext>
              </c:extLst>
              <c:f>('NOVATO FORECAST'!$E$101,'NOVATO FORECAST'!$G$101,'NOVATO FORECAST'!$I$101,'NOVATO FORECAST'!$K$101,'NOVATO FORECAST'!$M$101,'NOVATO FORECAST'!$O$101)</c:f>
              <c:numCache>
                <c:formatCode>"$"#,##0_);[Red]\("$"#,##0\)</c:formatCode>
                <c:ptCount val="6"/>
                <c:pt idx="0">
                  <c:v>9932022</c:v>
                </c:pt>
                <c:pt idx="1">
                  <c:v>11616594.119999997</c:v>
                </c:pt>
                <c:pt idx="2">
                  <c:v>13248036.942400001</c:v>
                </c:pt>
                <c:pt idx="3">
                  <c:v>14965985.161247998</c:v>
                </c:pt>
                <c:pt idx="4">
                  <c:v>16336339.63247297</c:v>
                </c:pt>
                <c:pt idx="5">
                  <c:v>18001830.429762423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48-4F39-ABAB-3F4C518E0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034240"/>
        <c:axId val="103048320"/>
      </c:barChart>
      <c:lineChart>
        <c:grouping val="standard"/>
        <c:varyColors val="0"/>
        <c:ser>
          <c:idx val="1"/>
          <c:order val="1"/>
          <c:tx>
            <c:strRef>
              <c:f>'NOVATO FORECAST'!$D$102</c:f>
              <c:strCache>
                <c:ptCount val="1"/>
                <c:pt idx="0">
                  <c:v>15% RESERVE LEVEL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'NOVATO FORECAST'!$E$100:$O$100</c15:sqref>
                  </c15:fullRef>
                </c:ext>
              </c:extLst>
              <c:f>('NOVATO FORECAST'!$E$100,'NOVATO FORECAST'!$G$100,'NOVATO FORECAST'!$I$100,'NOVATO FORECAST'!$K$100,'NOVATO FORECAST'!$M$100,'NOVATO FORECAST'!$O$100)</c:f>
              <c:strCache>
                <c:ptCount val="6"/>
                <c:pt idx="0">
                  <c:v>FY 2024-25 CM BUDGET</c:v>
                </c:pt>
                <c:pt idx="1">
                  <c:v>FY 2025-26 FORECAST</c:v>
                </c:pt>
                <c:pt idx="2">
                  <c:v>FY 2026-27 FORECAST</c:v>
                </c:pt>
                <c:pt idx="3">
                  <c:v>FY 2027-28 FORECAST</c:v>
                </c:pt>
                <c:pt idx="4">
                  <c:v>FY 2028-29 FORECAST</c:v>
                </c:pt>
                <c:pt idx="5">
                  <c:v>FY 2029-30 FORECAST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'NOVATO FORECAST'!$E$102:$O$102</c15:sqref>
                  </c15:fullRef>
                </c:ext>
              </c:extLst>
              <c:f>('NOVATO FORECAST'!$E$102,'NOVATO FORECAST'!$G$102,'NOVATO FORECAST'!$I$102,'NOVATO FORECAST'!$K$102,'NOVATO FORECAST'!$M$102,'NOVATO FORECAST'!$O$102)</c:f>
              <c:numCache>
                <c:formatCode>_("$"* #,##0_);_("$"* \(#,##0\);_("$"* "-"_);_(@_)</c:formatCode>
                <c:ptCount val="6"/>
                <c:pt idx="0">
                  <c:v>8152325.0999999996</c:v>
                </c:pt>
                <c:pt idx="1">
                  <c:v>8979424.1940000001</c:v>
                </c:pt>
                <c:pt idx="2">
                  <c:v>9113889.5068799984</c:v>
                </c:pt>
                <c:pt idx="3">
                  <c:v>9236155.6090176012</c:v>
                </c:pt>
                <c:pt idx="4">
                  <c:v>9427785.4939979501</c:v>
                </c:pt>
                <c:pt idx="5">
                  <c:v>9524505.1983819101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2-43F4-8EAE-37532305B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34240"/>
        <c:axId val="103048320"/>
      </c:lineChart>
      <c:catAx>
        <c:axId val="1030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48320"/>
        <c:crosses val="autoZero"/>
        <c:auto val="1"/>
        <c:lblAlgn val="ctr"/>
        <c:lblOffset val="100"/>
        <c:noMultiLvlLbl val="0"/>
      </c:catAx>
      <c:valAx>
        <c:axId val="1030483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General Fund Balance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34240"/>
        <c:crosses val="autoZero"/>
        <c:crossBetween val="between"/>
      </c:valAx>
      <c:spPr>
        <a:noFill/>
        <a:ln>
          <a:solidFill>
            <a:srgbClr val="C00000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12488</xdr:colOff>
      <xdr:row>1</xdr:row>
      <xdr:rowOff>24394</xdr:rowOff>
    </xdr:from>
    <xdr:to>
      <xdr:col>31</xdr:col>
      <xdr:colOff>562770</xdr:colOff>
      <xdr:row>25</xdr:row>
      <xdr:rowOff>8149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DF7B2B-E5DA-4818-9CE8-F0B779B2D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26</xdr:row>
      <xdr:rowOff>23815</xdr:rowOff>
    </xdr:from>
    <xdr:to>
      <xdr:col>31</xdr:col>
      <xdr:colOff>555784</xdr:colOff>
      <xdr:row>47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6B1CFF-5A51-4A40-8F68-847D53E86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874B5-5D6C-4558-BFFC-182BA39771E0}">
  <sheetPr>
    <pageSetUpPr fitToPage="1"/>
  </sheetPr>
  <dimension ref="A1:AF154"/>
  <sheetViews>
    <sheetView showGridLines="0" tabSelected="1" zoomScale="80" zoomScaleNormal="80" workbookViewId="0">
      <selection activeCell="G21" sqref="G21:H25"/>
    </sheetView>
  </sheetViews>
  <sheetFormatPr defaultRowHeight="14.4" x14ac:dyDescent="0.3"/>
  <cols>
    <col min="1" max="1" width="27.5546875" style="1" customWidth="1"/>
    <col min="2" max="2" width="3.77734375" style="1" customWidth="1"/>
    <col min="3" max="3" width="9" style="1" customWidth="1"/>
    <col min="4" max="4" width="6.5546875" style="1" customWidth="1"/>
    <col min="5" max="5" width="12.77734375" style="1" customWidth="1"/>
    <col min="6" max="6" width="4.77734375" style="1" customWidth="1"/>
    <col min="7" max="7" width="12.77734375" style="1" customWidth="1"/>
    <col min="8" max="8" width="5.88671875" style="1" customWidth="1"/>
    <col min="9" max="9" width="12.77734375" style="1" customWidth="1"/>
    <col min="10" max="10" width="4.77734375" style="1" customWidth="1"/>
    <col min="11" max="11" width="12.77734375" style="1" customWidth="1"/>
    <col min="12" max="12" width="4.77734375" style="1" customWidth="1"/>
    <col min="13" max="13" width="12.77734375" style="1" customWidth="1"/>
    <col min="14" max="14" width="4.77734375" style="1" customWidth="1"/>
    <col min="15" max="15" width="12.77734375" style="1" customWidth="1"/>
    <col min="16" max="16384" width="8.88671875" style="1"/>
  </cols>
  <sheetData>
    <row r="1" spans="1:32" ht="18" x14ac:dyDescent="0.35">
      <c r="A1" s="33" t="s">
        <v>101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ht="18" x14ac:dyDescent="0.35">
      <c r="A2" s="33" t="s">
        <v>102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18.600000000000001" thickBot="1" x14ac:dyDescent="0.4">
      <c r="A4" s="2" t="s">
        <v>62</v>
      </c>
      <c r="B4" s="3"/>
      <c r="C4" s="3"/>
      <c r="D4" s="3"/>
      <c r="E4" s="3"/>
      <c r="F4" s="3"/>
      <c r="G4" s="3"/>
      <c r="H4" s="3"/>
      <c r="I4" s="4"/>
      <c r="J4" s="4"/>
      <c r="K4" s="2" t="s">
        <v>63</v>
      </c>
      <c r="L4" s="4"/>
      <c r="M4" s="4"/>
      <c r="N4" s="4"/>
      <c r="O4" s="4"/>
      <c r="P4" s="4"/>
      <c r="Q4" s="4"/>
      <c r="R4" s="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3">
      <c r="A6" s="5" t="s">
        <v>13</v>
      </c>
      <c r="B6"/>
      <c r="C6"/>
      <c r="D6"/>
      <c r="E6"/>
      <c r="F6"/>
      <c r="G6"/>
      <c r="H6"/>
      <c r="I6"/>
      <c r="J6"/>
      <c r="K6" s="5" t="s">
        <v>64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3">
      <c r="A7"/>
      <c r="B7"/>
      <c r="C7"/>
      <c r="D7"/>
      <c r="E7"/>
      <c r="F7"/>
      <c r="G7" s="26" t="s">
        <v>46</v>
      </c>
      <c r="H7" s="26"/>
      <c r="I7"/>
      <c r="J7"/>
      <c r="K7"/>
      <c r="L7"/>
      <c r="M7"/>
      <c r="N7"/>
      <c r="O7"/>
      <c r="P7"/>
      <c r="Q7" s="26" t="s">
        <v>67</v>
      </c>
      <c r="R7" s="26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3">
      <c r="A8" t="s">
        <v>45</v>
      </c>
      <c r="B8"/>
      <c r="C8"/>
      <c r="D8"/>
      <c r="E8"/>
      <c r="F8"/>
      <c r="G8" s="40">
        <v>0.02</v>
      </c>
      <c r="H8" s="41"/>
      <c r="I8"/>
      <c r="J8"/>
      <c r="K8" t="s">
        <v>65</v>
      </c>
      <c r="L8"/>
      <c r="M8"/>
      <c r="N8"/>
      <c r="O8"/>
      <c r="P8"/>
      <c r="Q8" s="40">
        <v>0.03</v>
      </c>
      <c r="R8" s="41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3">
      <c r="A9" t="s">
        <v>48</v>
      </c>
      <c r="B9"/>
      <c r="C9"/>
      <c r="D9"/>
      <c r="E9"/>
      <c r="F9"/>
      <c r="G9" s="42"/>
      <c r="H9" s="43"/>
      <c r="I9"/>
      <c r="J9"/>
      <c r="K9" t="s">
        <v>66</v>
      </c>
      <c r="L9"/>
      <c r="M9"/>
      <c r="N9"/>
      <c r="O9"/>
      <c r="P9"/>
      <c r="Q9" s="42"/>
      <c r="R9" s="43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3">
      <c r="A12" s="5" t="s">
        <v>14</v>
      </c>
      <c r="B12"/>
      <c r="C12"/>
      <c r="D12"/>
      <c r="E12"/>
      <c r="F12"/>
      <c r="G12"/>
      <c r="H12"/>
      <c r="I12"/>
      <c r="J12"/>
      <c r="K12" s="5" t="s">
        <v>68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3">
      <c r="A13"/>
      <c r="B13"/>
      <c r="C13"/>
      <c r="D13"/>
      <c r="E13"/>
      <c r="F13"/>
      <c r="G13" s="26" t="s">
        <v>46</v>
      </c>
      <c r="H13" s="26"/>
      <c r="I13"/>
      <c r="J13"/>
      <c r="K13"/>
      <c r="L13"/>
      <c r="M13"/>
      <c r="N13"/>
      <c r="O13"/>
      <c r="P13"/>
      <c r="Q13" s="26" t="s">
        <v>72</v>
      </c>
      <c r="R13" s="26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4.4" customHeight="1" x14ac:dyDescent="0.3">
      <c r="A14" t="s">
        <v>50</v>
      </c>
      <c r="B14"/>
      <c r="C14"/>
      <c r="D14"/>
      <c r="E14"/>
      <c r="F14"/>
      <c r="G14" s="40">
        <v>0.02</v>
      </c>
      <c r="H14" s="41"/>
      <c r="I14"/>
      <c r="J14"/>
      <c r="K14" t="s">
        <v>69</v>
      </c>
      <c r="L14"/>
      <c r="M14"/>
      <c r="N14"/>
      <c r="O14"/>
      <c r="P14"/>
      <c r="Q14" s="40">
        <v>0.02</v>
      </c>
      <c r="R14" s="41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4.4" customHeight="1" x14ac:dyDescent="0.3">
      <c r="A15" t="s">
        <v>49</v>
      </c>
      <c r="B15"/>
      <c r="C15"/>
      <c r="D15"/>
      <c r="E15"/>
      <c r="F15"/>
      <c r="G15" s="42"/>
      <c r="H15" s="43"/>
      <c r="I15"/>
      <c r="J15"/>
      <c r="K15" t="s">
        <v>70</v>
      </c>
      <c r="L15"/>
      <c r="M15"/>
      <c r="N15"/>
      <c r="O15"/>
      <c r="P15"/>
      <c r="Q15" s="42"/>
      <c r="R15" s="43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x14ac:dyDescent="0.3">
      <c r="A16"/>
      <c r="B16"/>
      <c r="C16"/>
      <c r="D16"/>
      <c r="E16"/>
      <c r="F16"/>
      <c r="G16"/>
      <c r="H16"/>
      <c r="I16"/>
      <c r="J16"/>
      <c r="K16" t="s">
        <v>71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3">
      <c r="A18" s="5" t="s">
        <v>20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3">
      <c r="A19"/>
      <c r="B19"/>
      <c r="C19"/>
      <c r="D19"/>
      <c r="E19"/>
      <c r="F19"/>
      <c r="G19" s="26" t="s">
        <v>57</v>
      </c>
      <c r="H19" s="26"/>
      <c r="I19"/>
      <c r="J19"/>
      <c r="K19" s="5" t="s">
        <v>73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3">
      <c r="A20" t="s">
        <v>51</v>
      </c>
      <c r="B20"/>
      <c r="C20"/>
      <c r="D20"/>
      <c r="E20"/>
      <c r="F20"/>
      <c r="G20" s="26" t="s">
        <v>58</v>
      </c>
      <c r="H20" s="26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4.4" customHeight="1" x14ac:dyDescent="0.3">
      <c r="A21" s="7" t="s">
        <v>52</v>
      </c>
      <c r="B21"/>
      <c r="C21"/>
      <c r="D21"/>
      <c r="E21"/>
      <c r="F21"/>
      <c r="G21" s="34" t="s">
        <v>60</v>
      </c>
      <c r="H21" s="35"/>
      <c r="I21"/>
      <c r="J21"/>
      <c r="K21" t="s">
        <v>76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4.4" customHeight="1" x14ac:dyDescent="0.3">
      <c r="A22" s="7" t="s">
        <v>53</v>
      </c>
      <c r="B22"/>
      <c r="C22"/>
      <c r="D22"/>
      <c r="E22"/>
      <c r="F22"/>
      <c r="G22" s="36"/>
      <c r="H22" s="37"/>
      <c r="I22"/>
      <c r="J22"/>
      <c r="K22" t="s">
        <v>74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3">
      <c r="A23" s="7" t="s">
        <v>54</v>
      </c>
      <c r="B23"/>
      <c r="C23"/>
      <c r="D23"/>
      <c r="E23"/>
      <c r="F23"/>
      <c r="G23" s="36"/>
      <c r="H23" s="37"/>
      <c r="I23"/>
      <c r="J23"/>
      <c r="K23" t="s">
        <v>75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3">
      <c r="A24" s="7" t="s">
        <v>55</v>
      </c>
      <c r="B24"/>
      <c r="C24"/>
      <c r="D24"/>
      <c r="E24"/>
      <c r="F24"/>
      <c r="G24" s="36"/>
      <c r="H24" s="37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3">
      <c r="A25" s="7" t="s">
        <v>56</v>
      </c>
      <c r="B25"/>
      <c r="C25"/>
      <c r="D25"/>
      <c r="E25"/>
      <c r="F25"/>
      <c r="G25" s="38"/>
      <c r="H25" s="39"/>
      <c r="I25"/>
      <c r="J25"/>
      <c r="K25"/>
      <c r="L25" t="s">
        <v>77</v>
      </c>
      <c r="M25"/>
      <c r="N25"/>
      <c r="O25"/>
      <c r="P25"/>
      <c r="Q25" s="26" t="s">
        <v>80</v>
      </c>
      <c r="R25" s="26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3">
      <c r="A26" s="7" t="s">
        <v>128</v>
      </c>
      <c r="B26"/>
      <c r="C26"/>
      <c r="D26"/>
      <c r="E26"/>
      <c r="F26"/>
      <c r="G26"/>
      <c r="H26"/>
      <c r="I26"/>
      <c r="J26"/>
      <c r="K26"/>
      <c r="L26" s="7" t="s">
        <v>78</v>
      </c>
      <c r="M26"/>
      <c r="N26"/>
      <c r="O26"/>
      <c r="P26"/>
      <c r="Q26" s="27">
        <v>0</v>
      </c>
      <c r="R26" s="28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3">
      <c r="A27"/>
      <c r="B27"/>
      <c r="C27"/>
      <c r="D27"/>
      <c r="E27"/>
      <c r="F27"/>
      <c r="G27"/>
      <c r="H27"/>
      <c r="I27"/>
      <c r="J27"/>
      <c r="K27"/>
      <c r="L27" s="7" t="s">
        <v>79</v>
      </c>
      <c r="M27"/>
      <c r="N27"/>
      <c r="O27"/>
      <c r="P27"/>
      <c r="Q27" s="31"/>
      <c r="R27" s="3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4.4" customHeight="1" x14ac:dyDescent="0.3">
      <c r="A28" s="5" t="s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 s="8"/>
      <c r="R28" s="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4.4" customHeight="1" x14ac:dyDescent="0.3">
      <c r="A29"/>
      <c r="B29"/>
      <c r="C29"/>
      <c r="D29"/>
      <c r="E29"/>
      <c r="F29"/>
      <c r="G29"/>
      <c r="H29"/>
      <c r="I29"/>
      <c r="J29"/>
      <c r="K29"/>
      <c r="L29" t="s">
        <v>23</v>
      </c>
      <c r="M29"/>
      <c r="N29"/>
      <c r="O29"/>
      <c r="P29"/>
      <c r="Q29" s="26" t="s">
        <v>80</v>
      </c>
      <c r="R29" s="26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4.4" customHeight="1" x14ac:dyDescent="0.3">
      <c r="A30" t="s">
        <v>105</v>
      </c>
      <c r="B30"/>
      <c r="C30"/>
      <c r="D30"/>
      <c r="E30"/>
      <c r="F30"/>
      <c r="G30" s="26" t="s">
        <v>46</v>
      </c>
      <c r="H30" s="26"/>
      <c r="I30"/>
      <c r="J30"/>
      <c r="K30"/>
      <c r="L30" s="7" t="s">
        <v>82</v>
      </c>
      <c r="M30"/>
      <c r="N30"/>
      <c r="O30"/>
      <c r="P30"/>
      <c r="Q30" s="27">
        <v>1000000</v>
      </c>
      <c r="R30" s="28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4.4" customHeight="1" x14ac:dyDescent="0.3">
      <c r="A31" t="s">
        <v>104</v>
      </c>
      <c r="B31"/>
      <c r="C31"/>
      <c r="D31"/>
      <c r="E31"/>
      <c r="F31"/>
      <c r="G31" s="40">
        <v>0</v>
      </c>
      <c r="H31" s="41"/>
      <c r="I31"/>
      <c r="J31"/>
      <c r="K31"/>
      <c r="L31" s="7" t="s">
        <v>83</v>
      </c>
      <c r="M31"/>
      <c r="N31"/>
      <c r="O31"/>
      <c r="P31"/>
      <c r="Q31" s="29"/>
      <c r="R31" s="30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4.4" customHeight="1" x14ac:dyDescent="0.3">
      <c r="A32" t="s">
        <v>106</v>
      </c>
      <c r="B32"/>
      <c r="C32"/>
      <c r="D32"/>
      <c r="E32"/>
      <c r="F32"/>
      <c r="G32" s="42"/>
      <c r="H32" s="43"/>
      <c r="I32"/>
      <c r="J32"/>
      <c r="K32"/>
      <c r="L32" s="7" t="s">
        <v>84</v>
      </c>
      <c r="M32"/>
      <c r="N32"/>
      <c r="O32"/>
      <c r="P32"/>
      <c r="Q32" s="31"/>
      <c r="R32" s="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4.4" customHeight="1" x14ac:dyDescent="0.3">
      <c r="A33" t="s">
        <v>107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8"/>
      <c r="R33" s="8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x14ac:dyDescent="0.3">
      <c r="A34"/>
      <c r="B34"/>
      <c r="C34"/>
      <c r="D34"/>
      <c r="E34"/>
      <c r="F34"/>
      <c r="G34"/>
      <c r="H34"/>
      <c r="I34"/>
      <c r="J34"/>
      <c r="K34"/>
      <c r="L34" t="s">
        <v>25</v>
      </c>
      <c r="M34"/>
      <c r="N34"/>
      <c r="O34"/>
      <c r="P34"/>
      <c r="Q34" s="26" t="s">
        <v>80</v>
      </c>
      <c r="R34" s="26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4.4" customHeight="1" x14ac:dyDescent="0.3">
      <c r="A35"/>
      <c r="B35"/>
      <c r="C35"/>
      <c r="D35"/>
      <c r="E35"/>
      <c r="F35"/>
      <c r="G35"/>
      <c r="H35"/>
      <c r="I35"/>
      <c r="J35"/>
      <c r="K35"/>
      <c r="L35" s="7" t="s">
        <v>85</v>
      </c>
      <c r="M35"/>
      <c r="N35"/>
      <c r="O35"/>
      <c r="P35"/>
      <c r="Q35" s="27">
        <v>0</v>
      </c>
      <c r="R35" s="28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4.4" customHeight="1" x14ac:dyDescent="0.3">
      <c r="A36"/>
      <c r="B36"/>
      <c r="C36"/>
      <c r="D36"/>
      <c r="E36"/>
      <c r="F36"/>
      <c r="G36"/>
      <c r="H36"/>
      <c r="I36"/>
      <c r="J36"/>
      <c r="K36"/>
      <c r="L36" s="7" t="s">
        <v>86</v>
      </c>
      <c r="M36"/>
      <c r="N36"/>
      <c r="O36"/>
      <c r="P36"/>
      <c r="Q36" s="29"/>
      <c r="R36" s="30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4.4" customHeight="1" thickBot="1" x14ac:dyDescent="0.4">
      <c r="A37" s="2" t="s">
        <v>108</v>
      </c>
      <c r="B37" s="2"/>
      <c r="C37" s="2"/>
      <c r="D37" s="2"/>
      <c r="E37" s="2"/>
      <c r="F37" s="2"/>
      <c r="G37" s="2"/>
      <c r="H37" s="2"/>
      <c r="I37"/>
      <c r="J37"/>
      <c r="K37"/>
      <c r="L37" s="7" t="s">
        <v>87</v>
      </c>
      <c r="M37"/>
      <c r="N37"/>
      <c r="O37"/>
      <c r="P37"/>
      <c r="Q37" s="31"/>
      <c r="R37" s="32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x14ac:dyDescent="0.3">
      <c r="A39" t="s">
        <v>109</v>
      </c>
      <c r="B39"/>
      <c r="C39"/>
      <c r="D39"/>
      <c r="E39"/>
      <c r="F39"/>
      <c r="G39" s="26" t="s">
        <v>112</v>
      </c>
      <c r="H39" s="26"/>
      <c r="I39"/>
      <c r="J39"/>
      <c r="K39"/>
      <c r="L39" t="s">
        <v>88</v>
      </c>
      <c r="M39"/>
      <c r="N39"/>
      <c r="O39"/>
      <c r="P39"/>
      <c r="Q39" s="26" t="s">
        <v>80</v>
      </c>
      <c r="R39" s="26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3">
      <c r="A40" t="s">
        <v>110</v>
      </c>
      <c r="B40"/>
      <c r="C40"/>
      <c r="D40"/>
      <c r="E40"/>
      <c r="F40"/>
      <c r="G40" s="26" t="s">
        <v>118</v>
      </c>
      <c r="H40" s="26"/>
      <c r="I40"/>
      <c r="J40"/>
      <c r="K40"/>
      <c r="L40" s="7" t="s">
        <v>89</v>
      </c>
      <c r="M40"/>
      <c r="N40"/>
      <c r="O40"/>
      <c r="P40"/>
      <c r="Q40" s="27">
        <v>0</v>
      </c>
      <c r="R40" s="28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3">
      <c r="A41" t="s">
        <v>111</v>
      </c>
      <c r="B41"/>
      <c r="C41"/>
      <c r="D41"/>
      <c r="E41"/>
      <c r="F41"/>
      <c r="G41" s="26" t="s">
        <v>119</v>
      </c>
      <c r="H41" s="26"/>
      <c r="I41"/>
      <c r="J41"/>
      <c r="K41"/>
      <c r="L41" s="7" t="s">
        <v>90</v>
      </c>
      <c r="M41"/>
      <c r="N41"/>
      <c r="O41"/>
      <c r="P41"/>
      <c r="Q41" s="29"/>
      <c r="R41" s="30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3">
      <c r="A42" t="s">
        <v>115</v>
      </c>
      <c r="B42"/>
      <c r="C42"/>
      <c r="D42"/>
      <c r="E42"/>
      <c r="F42"/>
      <c r="G42" s="44">
        <v>10</v>
      </c>
      <c r="H42" s="45"/>
      <c r="I42"/>
      <c r="J42"/>
      <c r="K42"/>
      <c r="L42" s="7" t="s">
        <v>91</v>
      </c>
      <c r="M42"/>
      <c r="N42"/>
      <c r="O42"/>
      <c r="P42"/>
      <c r="Q42" s="31"/>
      <c r="R42" s="3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3">
      <c r="A43" t="s">
        <v>116</v>
      </c>
      <c r="B43"/>
      <c r="C43"/>
      <c r="D43"/>
      <c r="E43"/>
      <c r="F43"/>
      <c r="G43" s="46"/>
      <c r="H43" s="47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3">
      <c r="A44" t="s">
        <v>117</v>
      </c>
      <c r="B44"/>
      <c r="C44"/>
      <c r="D44"/>
      <c r="E44"/>
      <c r="F44"/>
      <c r="G44" s="48"/>
      <c r="H44" s="49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3">
      <c r="A45"/>
      <c r="B45"/>
      <c r="C45"/>
      <c r="D45"/>
      <c r="E45"/>
      <c r="F45"/>
      <c r="G45"/>
      <c r="H45"/>
      <c r="I45"/>
      <c r="J45"/>
      <c r="K45" s="5" t="s">
        <v>120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3">
      <c r="A47"/>
      <c r="B47"/>
      <c r="C47"/>
      <c r="D47"/>
      <c r="E47"/>
      <c r="F47"/>
      <c r="G47"/>
      <c r="H47"/>
      <c r="I47"/>
      <c r="J47"/>
      <c r="K47" t="s">
        <v>121</v>
      </c>
      <c r="L47"/>
      <c r="M47"/>
      <c r="N47"/>
      <c r="O47"/>
      <c r="P47"/>
      <c r="Q47" s="26" t="s">
        <v>80</v>
      </c>
      <c r="R47" s="26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3">
      <c r="A48"/>
      <c r="B48"/>
      <c r="C48"/>
      <c r="D48"/>
      <c r="E48"/>
      <c r="F48"/>
      <c r="G48"/>
      <c r="H48"/>
      <c r="I48"/>
      <c r="J48"/>
      <c r="K48" t="s">
        <v>122</v>
      </c>
      <c r="L48"/>
      <c r="M48"/>
      <c r="N48"/>
      <c r="O48"/>
      <c r="P48"/>
      <c r="Q48" s="27">
        <v>500000</v>
      </c>
      <c r="R48" s="2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3">
      <c r="A49"/>
      <c r="B49"/>
      <c r="C49"/>
      <c r="D49"/>
      <c r="E49"/>
      <c r="F49"/>
      <c r="G49"/>
      <c r="H49"/>
      <c r="I49"/>
      <c r="J49"/>
      <c r="K49" t="s">
        <v>123</v>
      </c>
      <c r="L49"/>
      <c r="M49"/>
      <c r="N49"/>
      <c r="O49"/>
      <c r="P49"/>
      <c r="Q49" s="29"/>
      <c r="R49" s="30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3">
      <c r="A50"/>
      <c r="B50"/>
      <c r="C50"/>
      <c r="D50"/>
      <c r="E50"/>
      <c r="F50"/>
      <c r="G50"/>
      <c r="H50"/>
      <c r="I50"/>
      <c r="J50"/>
      <c r="K50" t="s">
        <v>124</v>
      </c>
      <c r="L50"/>
      <c r="M50"/>
      <c r="N50"/>
      <c r="O50"/>
      <c r="P50"/>
      <c r="Q50" s="31"/>
      <c r="R50" s="32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3">
      <c r="A51"/>
      <c r="B51"/>
      <c r="C51"/>
      <c r="D51"/>
      <c r="E51"/>
      <c r="F51"/>
      <c r="G51"/>
      <c r="H51"/>
      <c r="I51"/>
      <c r="J51"/>
      <c r="K51" t="s">
        <v>125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thickBot="1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idden="1" x14ac:dyDescent="0.3">
      <c r="A53" s="10" t="s">
        <v>0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idden="1" x14ac:dyDescent="0.3">
      <c r="A54" s="10" t="s">
        <v>1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idden="1" x14ac:dyDescent="0.3">
      <c r="A55" s="10" t="s">
        <v>2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idden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idden="1" x14ac:dyDescent="0.3">
      <c r="A57" s="10"/>
      <c r="B57" s="10"/>
      <c r="C57" s="6"/>
      <c r="D57" s="6"/>
      <c r="E57" s="6" t="s">
        <v>5</v>
      </c>
      <c r="F57" s="6"/>
      <c r="G57" s="6" t="s">
        <v>7</v>
      </c>
      <c r="H57" s="6"/>
      <c r="I57" s="6" t="s">
        <v>9</v>
      </c>
      <c r="J57" s="6"/>
      <c r="K57" s="6" t="s">
        <v>10</v>
      </c>
      <c r="L57" s="6"/>
      <c r="M57" s="6" t="s">
        <v>11</v>
      </c>
      <c r="N57" s="6"/>
      <c r="O57" s="6" t="s">
        <v>12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idden="1" x14ac:dyDescent="0.3">
      <c r="A58" s="11" t="s">
        <v>3</v>
      </c>
      <c r="B58" s="11"/>
      <c r="C58" s="12" t="s">
        <v>4</v>
      </c>
      <c r="D58" s="12"/>
      <c r="E58" s="12" t="s">
        <v>6</v>
      </c>
      <c r="F58" s="12"/>
      <c r="G58" s="12" t="s">
        <v>8</v>
      </c>
      <c r="H58" s="12"/>
      <c r="I58" s="12" t="s">
        <v>8</v>
      </c>
      <c r="J58" s="12"/>
      <c r="K58" s="12" t="s">
        <v>8</v>
      </c>
      <c r="L58" s="12"/>
      <c r="M58" s="12" t="s">
        <v>8</v>
      </c>
      <c r="N58" s="12"/>
      <c r="O58" s="12" t="s">
        <v>8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idden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idden="1" x14ac:dyDescent="0.3">
      <c r="A60" t="s">
        <v>13</v>
      </c>
      <c r="B60"/>
      <c r="C60" s="13" t="s">
        <v>30</v>
      </c>
      <c r="D60"/>
      <c r="E60" s="14">
        <f>15937550+400000</f>
        <v>16337550</v>
      </c>
      <c r="F60" s="14"/>
      <c r="G60" s="14">
        <f>+E60*$G$8+E60</f>
        <v>16664301</v>
      </c>
      <c r="H60" s="14"/>
      <c r="I60" s="14">
        <f>+G60*$G$8+G60</f>
        <v>16997587.02</v>
      </c>
      <c r="J60" s="14"/>
      <c r="K60" s="14">
        <f>+I60*$G$8+I60</f>
        <v>17337538.760400001</v>
      </c>
      <c r="L60" s="14"/>
      <c r="M60" s="14">
        <f>+K60*$G$8+K60</f>
        <v>17684289.535608001</v>
      </c>
      <c r="N60" s="14"/>
      <c r="O60" s="14">
        <f>+M60*$G$8+M60</f>
        <v>18037975.32632016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idden="1" x14ac:dyDescent="0.3">
      <c r="A61" t="s">
        <v>14</v>
      </c>
      <c r="B61"/>
      <c r="C61" s="13" t="s">
        <v>31</v>
      </c>
      <c r="D61"/>
      <c r="E61" s="15">
        <v>16282554</v>
      </c>
      <c r="F61" s="15"/>
      <c r="G61" s="15">
        <f>+E61*$G$14+E61</f>
        <v>16608205.08</v>
      </c>
      <c r="H61" s="15"/>
      <c r="I61" s="15">
        <f>+G61*$G$14+G61</f>
        <v>16940369.181600001</v>
      </c>
      <c r="J61" s="15"/>
      <c r="K61" s="15">
        <f>+I61*$G$14+I61</f>
        <v>17279176.565232001</v>
      </c>
      <c r="L61" s="15"/>
      <c r="M61" s="15">
        <f>+K61*$G$14+K61</f>
        <v>17624760.09653664</v>
      </c>
      <c r="N61" s="15"/>
      <c r="O61" s="15">
        <f>+M61*$G$14+M61</f>
        <v>17977255.298467372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idden="1" x14ac:dyDescent="0.3">
      <c r="A62" t="s">
        <v>20</v>
      </c>
      <c r="B62"/>
      <c r="C62" s="13" t="s">
        <v>32</v>
      </c>
      <c r="D62"/>
      <c r="E62" s="15">
        <f>IF(G21="YES",2581875,0)</f>
        <v>2581875</v>
      </c>
      <c r="F62" s="15"/>
      <c r="G62" s="15">
        <f>IF(G21="YES",E62*4*(1+G14),0)</f>
        <v>10534050</v>
      </c>
      <c r="H62" s="15"/>
      <c r="I62" s="15">
        <f>+G62*$G$14+G62</f>
        <v>10744731</v>
      </c>
      <c r="J62" s="15"/>
      <c r="K62" s="15">
        <f>+I62*$G$14+I62</f>
        <v>10959625.619999999</v>
      </c>
      <c r="L62" s="15"/>
      <c r="M62" s="15">
        <f>+K62*$G$14+K62</f>
        <v>11178818.132399999</v>
      </c>
      <c r="N62" s="15"/>
      <c r="O62" s="15">
        <f>+M62*$G$14+M62</f>
        <v>11402394.495047998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idden="1" x14ac:dyDescent="0.3">
      <c r="A63" t="s">
        <v>15</v>
      </c>
      <c r="B63"/>
      <c r="C63" s="13" t="s">
        <v>34</v>
      </c>
      <c r="D63"/>
      <c r="E63" s="15">
        <v>1844002</v>
      </c>
      <c r="F63" s="15"/>
      <c r="G63" s="15">
        <v>2232688</v>
      </c>
      <c r="H63" s="15"/>
      <c r="I63" s="15">
        <f>+G63*$G$31+G63</f>
        <v>2232688</v>
      </c>
      <c r="J63" s="15"/>
      <c r="K63" s="15">
        <f>+I63*$G$31+I63</f>
        <v>2232688</v>
      </c>
      <c r="L63" s="15"/>
      <c r="M63" s="15">
        <f>+K63*$G$31+K63</f>
        <v>2232688</v>
      </c>
      <c r="N63" s="15"/>
      <c r="O63" s="15">
        <f>+M63*$G$31+M63</f>
        <v>2232688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idden="1" x14ac:dyDescent="0.3">
      <c r="A64" t="s">
        <v>33</v>
      </c>
      <c r="B64"/>
      <c r="C64" s="13" t="s">
        <v>34</v>
      </c>
      <c r="D64"/>
      <c r="E64" s="15">
        <v>2247518</v>
      </c>
      <c r="F64" s="15"/>
      <c r="G64" s="15">
        <v>2280543</v>
      </c>
      <c r="H64" s="15"/>
      <c r="I64" s="15">
        <v>2314571</v>
      </c>
      <c r="J64" s="15"/>
      <c r="K64" s="15">
        <v>2349109</v>
      </c>
      <c r="L64" s="15"/>
      <c r="M64" s="15">
        <v>2384165</v>
      </c>
      <c r="N64" s="15"/>
      <c r="O64" s="15">
        <v>2419747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idden="1" x14ac:dyDescent="0.3">
      <c r="A65" t="s">
        <v>42</v>
      </c>
      <c r="B65"/>
      <c r="C65" s="13" t="s">
        <v>34</v>
      </c>
      <c r="D65"/>
      <c r="E65" s="15">
        <v>2266701</v>
      </c>
      <c r="F65" s="15"/>
      <c r="G65" s="15">
        <v>2156400</v>
      </c>
      <c r="H65" s="15"/>
      <c r="I65" s="15">
        <v>2156400</v>
      </c>
      <c r="J65" s="15"/>
      <c r="K65" s="15">
        <v>2156400</v>
      </c>
      <c r="L65" s="15"/>
      <c r="M65" s="15">
        <v>2156400</v>
      </c>
      <c r="N65" s="15"/>
      <c r="O65" s="15">
        <v>2156400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idden="1" x14ac:dyDescent="0.3">
      <c r="A66" t="s">
        <v>16</v>
      </c>
      <c r="B66"/>
      <c r="C66" s="13" t="s">
        <v>34</v>
      </c>
      <c r="D66"/>
      <c r="E66" s="15">
        <v>11317233</v>
      </c>
      <c r="F66" s="15"/>
      <c r="G66" s="15">
        <v>11071213</v>
      </c>
      <c r="H66" s="15"/>
      <c r="I66" s="15">
        <v>11004360</v>
      </c>
      <c r="J66" s="15"/>
      <c r="K66" s="15">
        <v>10977781</v>
      </c>
      <c r="L66" s="15"/>
      <c r="M66" s="15">
        <v>10961137</v>
      </c>
      <c r="N66" s="15"/>
      <c r="O66" s="15">
        <v>10935732</v>
      </c>
      <c r="P66" s="14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idden="1" x14ac:dyDescent="0.3">
      <c r="A67"/>
      <c r="B67"/>
      <c r="C67"/>
      <c r="D6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idden="1" x14ac:dyDescent="0.3">
      <c r="A68"/>
      <c r="B68"/>
      <c r="C68"/>
      <c r="D6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5" hidden="1" thickBot="1" x14ac:dyDescent="0.35">
      <c r="A69" s="17" t="s">
        <v>17</v>
      </c>
      <c r="B69"/>
      <c r="C69"/>
      <c r="D69"/>
      <c r="E69" s="18">
        <f>SUM(E60:E67)</f>
        <v>52877433</v>
      </c>
      <c r="F69" s="18"/>
      <c r="G69" s="18">
        <f>SUM(G60:G67)</f>
        <v>61547400.079999998</v>
      </c>
      <c r="H69" s="18"/>
      <c r="I69" s="18">
        <f>SUM(I60:I67)</f>
        <v>62390706.2016</v>
      </c>
      <c r="J69" s="18"/>
      <c r="K69" s="18">
        <f>SUM(K60:K67)</f>
        <v>63292318.945632003</v>
      </c>
      <c r="L69" s="18"/>
      <c r="M69" s="18">
        <f>SUM(M60:M67)</f>
        <v>64222257.764544643</v>
      </c>
      <c r="N69" s="18"/>
      <c r="O69" s="18">
        <f>SUM(O60:O67)</f>
        <v>65162192.119835526</v>
      </c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5" hidden="1" thickTop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idden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idden="1" x14ac:dyDescent="0.3">
      <c r="A72" s="10"/>
      <c r="B72" s="10"/>
      <c r="C72" s="6"/>
      <c r="D72" s="6"/>
      <c r="E72" s="6" t="s">
        <v>5</v>
      </c>
      <c r="F72" s="6"/>
      <c r="G72" s="6" t="s">
        <v>7</v>
      </c>
      <c r="H72" s="6"/>
      <c r="I72" s="6" t="s">
        <v>9</v>
      </c>
      <c r="J72" s="6"/>
      <c r="K72" s="6" t="s">
        <v>10</v>
      </c>
      <c r="L72" s="6"/>
      <c r="M72" s="6" t="s">
        <v>11</v>
      </c>
      <c r="N72" s="6"/>
      <c r="O72" s="6" t="s">
        <v>12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idden="1" x14ac:dyDescent="0.3">
      <c r="A73" s="11" t="s">
        <v>18</v>
      </c>
      <c r="B73" s="11"/>
      <c r="C73" s="12" t="s">
        <v>4</v>
      </c>
      <c r="D73" s="12"/>
      <c r="E73" s="12" t="s">
        <v>6</v>
      </c>
      <c r="F73" s="12"/>
      <c r="G73" s="12" t="s">
        <v>8</v>
      </c>
      <c r="H73" s="12"/>
      <c r="I73" s="12" t="s">
        <v>8</v>
      </c>
      <c r="J73" s="12"/>
      <c r="K73" s="12" t="s">
        <v>8</v>
      </c>
      <c r="L73" s="12"/>
      <c r="M73" s="12" t="s">
        <v>8</v>
      </c>
      <c r="N73" s="12"/>
      <c r="O73" s="12" t="s">
        <v>8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idden="1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idden="1" x14ac:dyDescent="0.3">
      <c r="A75" t="s">
        <v>19</v>
      </c>
      <c r="B75"/>
      <c r="C75" s="13" t="s">
        <v>34</v>
      </c>
      <c r="D75"/>
      <c r="E75" s="14">
        <f>37440702-5316686</f>
        <v>32124016</v>
      </c>
      <c r="F75" s="14"/>
      <c r="G75" s="14">
        <f>38069185-5797696</f>
        <v>32271489</v>
      </c>
      <c r="H75" s="14"/>
      <c r="I75" s="14">
        <f>38602303-6232632</f>
        <v>32369671</v>
      </c>
      <c r="J75" s="14"/>
      <c r="K75" s="14">
        <f>39038530-6582474</f>
        <v>32456056</v>
      </c>
      <c r="L75" s="14"/>
      <c r="M75" s="14">
        <f>39937647-7375900</f>
        <v>32561747</v>
      </c>
      <c r="N75" s="14"/>
      <c r="O75" s="14">
        <f>40186340-7529441</f>
        <v>32656899</v>
      </c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idden="1" x14ac:dyDescent="0.3">
      <c r="A76" t="s">
        <v>43</v>
      </c>
      <c r="B76"/>
      <c r="C76" s="13" t="s">
        <v>35</v>
      </c>
      <c r="D76"/>
      <c r="E76" s="15">
        <v>0</v>
      </c>
      <c r="F76" s="15"/>
      <c r="G76" s="15">
        <f>256000*Q8*100</f>
        <v>768000</v>
      </c>
      <c r="H76" s="15"/>
      <c r="I76" s="15">
        <f>+G76*$Q$8+G76</f>
        <v>791040</v>
      </c>
      <c r="J76" s="15"/>
      <c r="K76" s="15">
        <f>+I76*$Q$8+I76</f>
        <v>814771.19999999995</v>
      </c>
      <c r="L76" s="15"/>
      <c r="M76" s="15">
        <f>+K76*$Q$8+K76</f>
        <v>839214.33599999989</v>
      </c>
      <c r="N76" s="15"/>
      <c r="O76" s="15">
        <f>+M76*$Q$8+M76</f>
        <v>864390.76607999986</v>
      </c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idden="1" x14ac:dyDescent="0.3">
      <c r="A77" t="s">
        <v>21</v>
      </c>
      <c r="B77"/>
      <c r="C77" s="13" t="s">
        <v>36</v>
      </c>
      <c r="D77"/>
      <c r="E77" s="15">
        <v>5316686</v>
      </c>
      <c r="F77" s="15"/>
      <c r="G77" s="15">
        <v>5797696</v>
      </c>
      <c r="H77" s="15"/>
      <c r="I77" s="15">
        <v>6232632</v>
      </c>
      <c r="J77" s="15"/>
      <c r="K77" s="15">
        <v>6582474</v>
      </c>
      <c r="L77" s="15"/>
      <c r="M77" s="15">
        <v>7375900</v>
      </c>
      <c r="N77" s="15"/>
      <c r="O77" s="15">
        <v>7529441</v>
      </c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idden="1" x14ac:dyDescent="0.3">
      <c r="A78" t="s">
        <v>22</v>
      </c>
      <c r="B78"/>
      <c r="C78" s="13" t="s">
        <v>37</v>
      </c>
      <c r="D78"/>
      <c r="E78" s="15">
        <f>14781756-498108</f>
        <v>14283648</v>
      </c>
      <c r="F78" s="15"/>
      <c r="G78" s="15">
        <f>+E78*$Q$14+E78</f>
        <v>14569320.960000001</v>
      </c>
      <c r="H78" s="15"/>
      <c r="I78" s="15">
        <f>+G78*$Q$14+G78</f>
        <v>14860707.3792</v>
      </c>
      <c r="J78" s="15"/>
      <c r="K78" s="15">
        <f>+I78*$Q$14+I78</f>
        <v>15157921.526784001</v>
      </c>
      <c r="L78" s="15"/>
      <c r="M78" s="15">
        <f>+K78*$Q$14+K78</f>
        <v>15461079.957319681</v>
      </c>
      <c r="N78" s="15"/>
      <c r="O78" s="15">
        <f>+M78*$Q$14+M78</f>
        <v>15770301.556466075</v>
      </c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idden="1" x14ac:dyDescent="0.3">
      <c r="A79" t="s">
        <v>28</v>
      </c>
      <c r="B79"/>
      <c r="C79" s="13" t="s">
        <v>34</v>
      </c>
      <c r="D79"/>
      <c r="E79" s="15">
        <v>498108</v>
      </c>
      <c r="F79" s="15"/>
      <c r="G79" s="15">
        <v>342394</v>
      </c>
      <c r="H79" s="15"/>
      <c r="I79" s="15">
        <v>330772</v>
      </c>
      <c r="J79" s="15"/>
      <c r="K79" s="15">
        <v>321943</v>
      </c>
      <c r="L79" s="15"/>
      <c r="M79" s="15">
        <v>300338</v>
      </c>
      <c r="N79" s="15"/>
      <c r="O79" s="15">
        <v>295426</v>
      </c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idden="1" x14ac:dyDescent="0.3">
      <c r="A80" t="s">
        <v>44</v>
      </c>
      <c r="B80"/>
      <c r="C80" s="13" t="s">
        <v>34</v>
      </c>
      <c r="D80"/>
      <c r="E80" s="15">
        <v>444000</v>
      </c>
      <c r="F80" s="15"/>
      <c r="G80" s="15">
        <v>444000</v>
      </c>
      <c r="H80" s="15"/>
      <c r="I80" s="15">
        <v>444000</v>
      </c>
      <c r="J80" s="15"/>
      <c r="K80" s="15">
        <v>444000</v>
      </c>
      <c r="L80" s="15"/>
      <c r="M80" s="15">
        <v>444000</v>
      </c>
      <c r="N80" s="15"/>
      <c r="O80" s="15">
        <v>444000</v>
      </c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idden="1" x14ac:dyDescent="0.3">
      <c r="A81" t="s">
        <v>27</v>
      </c>
      <c r="B81"/>
      <c r="C81" s="13" t="s">
        <v>34</v>
      </c>
      <c r="D81"/>
      <c r="E81" s="15">
        <v>1682376</v>
      </c>
      <c r="F81" s="15"/>
      <c r="G81" s="15">
        <v>1744928</v>
      </c>
      <c r="H81" s="15"/>
      <c r="I81" s="15">
        <v>1805441</v>
      </c>
      <c r="J81" s="15"/>
      <c r="K81" s="15">
        <v>1872205</v>
      </c>
      <c r="L81" s="15"/>
      <c r="M81" s="15">
        <v>1944624</v>
      </c>
      <c r="N81" s="15"/>
      <c r="O81" s="15">
        <v>2011243</v>
      </c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idden="1" x14ac:dyDescent="0.3">
      <c r="A82" t="s">
        <v>23</v>
      </c>
      <c r="B82"/>
      <c r="C82" s="13" t="s">
        <v>38</v>
      </c>
      <c r="D82"/>
      <c r="E82" s="15">
        <v>0</v>
      </c>
      <c r="F82" s="15"/>
      <c r="G82" s="15">
        <f>+$Q$30</f>
        <v>1000000</v>
      </c>
      <c r="H82" s="15"/>
      <c r="I82" s="15">
        <f>+$Q$30</f>
        <v>1000000</v>
      </c>
      <c r="J82" s="15"/>
      <c r="K82" s="15">
        <f>+$Q$30</f>
        <v>1000000</v>
      </c>
      <c r="L82" s="15"/>
      <c r="M82" s="15">
        <f>+$Q$30</f>
        <v>1000000</v>
      </c>
      <c r="N82" s="15"/>
      <c r="O82" s="15">
        <f>+$Q$30</f>
        <v>1000000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idden="1" x14ac:dyDescent="0.3">
      <c r="A83" t="s">
        <v>24</v>
      </c>
      <c r="B83"/>
      <c r="C83" s="13" t="s">
        <v>39</v>
      </c>
      <c r="D83"/>
      <c r="E83" s="15">
        <v>0</v>
      </c>
      <c r="F83" s="15"/>
      <c r="G83" s="15">
        <f>+$Q$26</f>
        <v>0</v>
      </c>
      <c r="H83" s="15"/>
      <c r="I83" s="15">
        <f>+$Q$26</f>
        <v>0</v>
      </c>
      <c r="J83" s="15"/>
      <c r="K83" s="15">
        <f>+$Q$26</f>
        <v>0</v>
      </c>
      <c r="L83" s="15"/>
      <c r="M83" s="15">
        <f>+$Q$26</f>
        <v>0</v>
      </c>
      <c r="N83" s="15"/>
      <c r="O83" s="15">
        <f>+$Q$26</f>
        <v>0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idden="1" x14ac:dyDescent="0.3">
      <c r="A84" t="s">
        <v>25</v>
      </c>
      <c r="B84"/>
      <c r="C84" s="13" t="s">
        <v>40</v>
      </c>
      <c r="D84"/>
      <c r="E84" s="15">
        <v>0</v>
      </c>
      <c r="F84" s="15"/>
      <c r="G84" s="15">
        <f>+$Q$35</f>
        <v>0</v>
      </c>
      <c r="H84" s="15"/>
      <c r="I84" s="15">
        <f>+$Q$35</f>
        <v>0</v>
      </c>
      <c r="J84" s="15"/>
      <c r="K84" s="15">
        <f>+$Q$35</f>
        <v>0</v>
      </c>
      <c r="L84" s="15"/>
      <c r="M84" s="15">
        <f>+$Q$35</f>
        <v>0</v>
      </c>
      <c r="N84" s="15"/>
      <c r="O84" s="15">
        <f>+$Q$35</f>
        <v>0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idden="1" x14ac:dyDescent="0.3">
      <c r="A85" t="s">
        <v>26</v>
      </c>
      <c r="B85"/>
      <c r="C85" s="13" t="s">
        <v>41</v>
      </c>
      <c r="D85"/>
      <c r="E85" s="15">
        <v>0</v>
      </c>
      <c r="F85" s="15"/>
      <c r="G85" s="15">
        <f>+$Q$40</f>
        <v>0</v>
      </c>
      <c r="H85" s="15"/>
      <c r="I85" s="15">
        <f>+$Q$40</f>
        <v>0</v>
      </c>
      <c r="J85" s="15"/>
      <c r="K85" s="15">
        <f>+$Q$40</f>
        <v>0</v>
      </c>
      <c r="L85" s="15"/>
      <c r="M85" s="15">
        <f>+$Q$40</f>
        <v>0</v>
      </c>
      <c r="N85" s="15"/>
      <c r="O85" s="15">
        <f>+$Q$40</f>
        <v>0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idden="1" x14ac:dyDescent="0.3">
      <c r="A86" t="s">
        <v>114</v>
      </c>
      <c r="B86"/>
      <c r="C86" s="13" t="s">
        <v>34</v>
      </c>
      <c r="D86"/>
      <c r="E86" s="15">
        <v>0</v>
      </c>
      <c r="F86" s="15"/>
      <c r="G86" s="15">
        <f>+$G$42*$E$113</f>
        <v>1425000</v>
      </c>
      <c r="H86" s="15"/>
      <c r="I86" s="15">
        <f>+$G$42*$E$113</f>
        <v>1425000</v>
      </c>
      <c r="J86" s="15"/>
      <c r="K86" s="15">
        <f>+$G$42*$E$113</f>
        <v>1425000</v>
      </c>
      <c r="L86" s="15"/>
      <c r="M86" s="15">
        <f>+$G$42*$E$113</f>
        <v>1425000</v>
      </c>
      <c r="N86" s="15"/>
      <c r="O86" s="15">
        <f>+$G$42*$E$113</f>
        <v>1425000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idden="1" x14ac:dyDescent="0.3">
      <c r="A87" t="s">
        <v>127</v>
      </c>
      <c r="B87"/>
      <c r="C87" s="13" t="s">
        <v>34</v>
      </c>
      <c r="D87"/>
      <c r="E87" s="15">
        <v>0</v>
      </c>
      <c r="F87" s="15"/>
      <c r="G87" s="15">
        <f>+$Q$48</f>
        <v>500000</v>
      </c>
      <c r="H87" s="15"/>
      <c r="I87" s="15">
        <f>+$Q$48</f>
        <v>500000</v>
      </c>
      <c r="J87" s="15"/>
      <c r="K87" s="15">
        <f>+$Q$48</f>
        <v>500000</v>
      </c>
      <c r="L87" s="15"/>
      <c r="M87" s="15">
        <f>+$Q$48</f>
        <v>500000</v>
      </c>
      <c r="N87" s="15"/>
      <c r="O87" s="15">
        <f>+$Q$48</f>
        <v>500000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idden="1" x14ac:dyDescent="0.3">
      <c r="A88" t="s">
        <v>129</v>
      </c>
      <c r="B88"/>
      <c r="C88" s="13" t="s">
        <v>34</v>
      </c>
      <c r="D88"/>
      <c r="E88" s="15">
        <v>0</v>
      </c>
      <c r="F88" s="15"/>
      <c r="G88" s="15">
        <f>IF($G$21="yes",1000000,0)</f>
        <v>1000000</v>
      </c>
      <c r="H88" s="15"/>
      <c r="I88" s="15">
        <f>IF($G$21="yes",1000000,0)</f>
        <v>1000000</v>
      </c>
      <c r="J88" s="15"/>
      <c r="K88" s="15">
        <f>IF($G$21="yes",1000000,0)</f>
        <v>1000000</v>
      </c>
      <c r="L88" s="15"/>
      <c r="M88" s="15">
        <f>IF($G$21="yes",1000000,0)</f>
        <v>1000000</v>
      </c>
      <c r="N88" s="15"/>
      <c r="O88" s="15">
        <f>IF($G$21="yes",1000000,0)</f>
        <v>1000000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idden="1" x14ac:dyDescent="0.3">
      <c r="A89"/>
      <c r="B89"/>
      <c r="C89"/>
      <c r="D8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idden="1" x14ac:dyDescent="0.3">
      <c r="A90"/>
      <c r="B90"/>
      <c r="C90"/>
      <c r="D9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5" hidden="1" thickBot="1" x14ac:dyDescent="0.35">
      <c r="A91" s="17" t="s">
        <v>29</v>
      </c>
      <c r="B91"/>
      <c r="C91"/>
      <c r="D91"/>
      <c r="E91" s="18">
        <f>SUM(E75:E89)</f>
        <v>54348834</v>
      </c>
      <c r="F91" s="18"/>
      <c r="G91" s="18">
        <f>SUM(G75:G89)</f>
        <v>59862827.960000001</v>
      </c>
      <c r="H91" s="18"/>
      <c r="I91" s="18">
        <f>SUM(I75:I89)</f>
        <v>60759263.379199997</v>
      </c>
      <c r="J91" s="18"/>
      <c r="K91" s="18">
        <f>SUM(K75:K89)</f>
        <v>61574370.726784006</v>
      </c>
      <c r="L91" s="18"/>
      <c r="M91" s="18">
        <f>SUM(M75:M89)</f>
        <v>62851903.293319672</v>
      </c>
      <c r="N91" s="18"/>
      <c r="O91" s="18">
        <f>SUM(O75:O89)</f>
        <v>63496701.322546072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5" hidden="1" thickTop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idden="1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30" hidden="1" customHeight="1" x14ac:dyDescent="0.3">
      <c r="A94"/>
      <c r="B94"/>
      <c r="C94"/>
      <c r="D94"/>
      <c r="E94" s="20" t="s">
        <v>94</v>
      </c>
      <c r="F94" s="21"/>
      <c r="G94" s="20" t="s">
        <v>95</v>
      </c>
      <c r="H94" s="21"/>
      <c r="I94" s="20" t="s">
        <v>96</v>
      </c>
      <c r="J94" s="21"/>
      <c r="K94" s="20" t="s">
        <v>97</v>
      </c>
      <c r="L94" s="21"/>
      <c r="M94" s="20" t="s">
        <v>98</v>
      </c>
      <c r="N94" s="21"/>
      <c r="O94" s="20" t="s">
        <v>99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idden="1" x14ac:dyDescent="0.3">
      <c r="A95"/>
      <c r="B95"/>
      <c r="C95"/>
      <c r="D95" s="22" t="s">
        <v>92</v>
      </c>
      <c r="E95" s="14">
        <f>+E69</f>
        <v>52877433</v>
      </c>
      <c r="F95"/>
      <c r="G95" s="14">
        <f>+G69</f>
        <v>61547400.079999998</v>
      </c>
      <c r="H95"/>
      <c r="I95" s="14">
        <f>+I69</f>
        <v>62390706.2016</v>
      </c>
      <c r="J95"/>
      <c r="K95" s="14">
        <f>+K69</f>
        <v>63292318.945632003</v>
      </c>
      <c r="L95"/>
      <c r="M95" s="14">
        <f>+M69</f>
        <v>64222257.764544643</v>
      </c>
      <c r="N95"/>
      <c r="O95" s="14">
        <f>+O69</f>
        <v>65162192.119835526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idden="1" x14ac:dyDescent="0.3">
      <c r="A96"/>
      <c r="B96"/>
      <c r="C96"/>
      <c r="D96" s="22" t="s">
        <v>93</v>
      </c>
      <c r="E96" s="14">
        <f>+E91</f>
        <v>54348834</v>
      </c>
      <c r="F96"/>
      <c r="G96" s="14">
        <f>+G91</f>
        <v>59862827.960000001</v>
      </c>
      <c r="H96"/>
      <c r="I96" s="14">
        <f>+I91</f>
        <v>60759263.379199997</v>
      </c>
      <c r="J96"/>
      <c r="K96" s="14">
        <f>+K91</f>
        <v>61574370.726784006</v>
      </c>
      <c r="L96"/>
      <c r="M96" s="14">
        <f>+M91</f>
        <v>62851903.293319672</v>
      </c>
      <c r="N96"/>
      <c r="O96" s="14">
        <f>+O91</f>
        <v>63496701.322546072</v>
      </c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idden="1" x14ac:dyDescent="0.3">
      <c r="A97"/>
      <c r="B97"/>
      <c r="C97"/>
      <c r="D97" s="22" t="s">
        <v>100</v>
      </c>
      <c r="E97" s="23">
        <f>+E95-E96</f>
        <v>-1471401</v>
      </c>
      <c r="F97" s="23"/>
      <c r="G97" s="23">
        <f>+G95-G96</f>
        <v>1684572.1199999973</v>
      </c>
      <c r="H97" s="23"/>
      <c r="I97" s="23">
        <f>+I95-I96</f>
        <v>1631442.8224000037</v>
      </c>
      <c r="J97" s="23"/>
      <c r="K97" s="23">
        <f>+K95-K96</f>
        <v>1717948.2188479975</v>
      </c>
      <c r="L97" s="23"/>
      <c r="M97" s="23">
        <f>+M95-M96</f>
        <v>1370354.4712249711</v>
      </c>
      <c r="N97" s="23"/>
      <c r="O97" s="23">
        <f>+O95-O96</f>
        <v>1665490.7972894534</v>
      </c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idden="1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idden="1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28.8" hidden="1" x14ac:dyDescent="0.3">
      <c r="A100"/>
      <c r="B100"/>
      <c r="C100"/>
      <c r="D100"/>
      <c r="E100" s="20" t="s">
        <v>94</v>
      </c>
      <c r="F100" s="21"/>
      <c r="G100" s="20" t="s">
        <v>95</v>
      </c>
      <c r="H100" s="21"/>
      <c r="I100" s="20" t="s">
        <v>96</v>
      </c>
      <c r="J100" s="21"/>
      <c r="K100" s="20" t="s">
        <v>97</v>
      </c>
      <c r="L100" s="21"/>
      <c r="M100" s="20" t="s">
        <v>98</v>
      </c>
      <c r="N100" s="21"/>
      <c r="O100" s="20" t="s">
        <v>99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idden="1" x14ac:dyDescent="0.3">
      <c r="A101"/>
      <c r="B101"/>
      <c r="C101"/>
      <c r="D101" s="22" t="s">
        <v>103</v>
      </c>
      <c r="E101" s="23">
        <v>9932022</v>
      </c>
      <c r="F101" s="23"/>
      <c r="G101" s="23">
        <f>+E101+G97</f>
        <v>11616594.119999997</v>
      </c>
      <c r="H101" s="23"/>
      <c r="I101" s="23">
        <f>+G101+I97</f>
        <v>13248036.942400001</v>
      </c>
      <c r="J101" s="23"/>
      <c r="K101" s="23">
        <f>+I101+K97</f>
        <v>14965985.161247998</v>
      </c>
      <c r="L101" s="23"/>
      <c r="M101" s="23">
        <f>+K101+M97</f>
        <v>16336339.63247297</v>
      </c>
      <c r="N101" s="23"/>
      <c r="O101" s="23">
        <f>+M101+O97</f>
        <v>18001830.429762423</v>
      </c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idden="1" x14ac:dyDescent="0.3">
      <c r="A102"/>
      <c r="B102"/>
      <c r="C102"/>
      <c r="D102" s="22" t="s">
        <v>130</v>
      </c>
      <c r="E102" s="14">
        <f>+E96*0.15</f>
        <v>8152325.0999999996</v>
      </c>
      <c r="F102" s="14"/>
      <c r="G102" s="14">
        <f t="shared" ref="G102:O102" si="0">+G96*0.15</f>
        <v>8979424.1940000001</v>
      </c>
      <c r="H102" s="14"/>
      <c r="I102" s="14">
        <f t="shared" si="0"/>
        <v>9113889.5068799984</v>
      </c>
      <c r="J102" s="14"/>
      <c r="K102" s="14">
        <f t="shared" si="0"/>
        <v>9236155.6090176012</v>
      </c>
      <c r="L102" s="14"/>
      <c r="M102" s="14">
        <f t="shared" si="0"/>
        <v>9427785.4939979501</v>
      </c>
      <c r="N102" s="14"/>
      <c r="O102" s="14">
        <f t="shared" si="0"/>
        <v>9524505.1983819101</v>
      </c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idden="1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idden="1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idden="1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idden="1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idden="1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idden="1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idden="1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idden="1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idden="1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idden="1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idden="1" x14ac:dyDescent="0.3">
      <c r="A113" t="s">
        <v>47</v>
      </c>
      <c r="B113"/>
      <c r="C113" t="s">
        <v>113</v>
      </c>
      <c r="D113"/>
      <c r="E113">
        <v>142500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idden="1" x14ac:dyDescent="0.3">
      <c r="A114" s="24">
        <v>0</v>
      </c>
      <c r="B114"/>
      <c r="C114" s="1">
        <v>-20</v>
      </c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idden="1" x14ac:dyDescent="0.3">
      <c r="A115" s="24">
        <v>0.01</v>
      </c>
      <c r="B115"/>
      <c r="C115" s="1">
        <v>-19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idden="1" x14ac:dyDescent="0.3">
      <c r="A116" s="24">
        <v>0.02</v>
      </c>
      <c r="B116"/>
      <c r="C116" s="1">
        <v>-18</v>
      </c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idden="1" x14ac:dyDescent="0.3">
      <c r="A117" s="24">
        <v>0.03</v>
      </c>
      <c r="B117"/>
      <c r="C117" s="1">
        <v>-17</v>
      </c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idden="1" x14ac:dyDescent="0.3">
      <c r="A118" s="24">
        <v>0.04</v>
      </c>
      <c r="B118"/>
      <c r="C118" s="1">
        <v>-16</v>
      </c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idden="1" x14ac:dyDescent="0.3">
      <c r="A119" s="24">
        <v>0.05</v>
      </c>
      <c r="B119"/>
      <c r="C119" s="1">
        <v>-15</v>
      </c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idden="1" x14ac:dyDescent="0.3">
      <c r="A120" s="24">
        <v>0.06</v>
      </c>
      <c r="B120"/>
      <c r="C120" s="1">
        <v>-14</v>
      </c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idden="1" x14ac:dyDescent="0.3">
      <c r="A121"/>
      <c r="B121"/>
      <c r="C121" s="1">
        <v>-13</v>
      </c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idden="1" x14ac:dyDescent="0.3">
      <c r="A122" t="s">
        <v>59</v>
      </c>
      <c r="B122"/>
      <c r="C122" s="1">
        <v>-12</v>
      </c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idden="1" x14ac:dyDescent="0.3">
      <c r="A123" s="13" t="s">
        <v>60</v>
      </c>
      <c r="B123"/>
      <c r="C123" s="1">
        <v>-11</v>
      </c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idden="1" x14ac:dyDescent="0.3">
      <c r="A124" s="13" t="s">
        <v>61</v>
      </c>
      <c r="B124"/>
      <c r="C124" s="1">
        <v>-10</v>
      </c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idden="1" x14ac:dyDescent="0.3">
      <c r="A125"/>
      <c r="B125"/>
      <c r="C125" s="1">
        <v>-9</v>
      </c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idden="1" x14ac:dyDescent="0.3">
      <c r="A126" t="s">
        <v>81</v>
      </c>
      <c r="B126"/>
      <c r="C126" s="1">
        <v>-8</v>
      </c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idden="1" x14ac:dyDescent="0.3">
      <c r="A127" s="25">
        <v>0</v>
      </c>
      <c r="B127"/>
      <c r="C127" s="1">
        <v>-7</v>
      </c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idden="1" x14ac:dyDescent="0.3">
      <c r="A128" s="25">
        <v>500000</v>
      </c>
      <c r="B128"/>
      <c r="C128" s="1">
        <v>-6</v>
      </c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idden="1" x14ac:dyDescent="0.3">
      <c r="A129" s="25">
        <v>1000000</v>
      </c>
      <c r="B129"/>
      <c r="C129" s="1">
        <v>-5</v>
      </c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idden="1" x14ac:dyDescent="0.3">
      <c r="A130" s="25">
        <v>1500000</v>
      </c>
      <c r="B130"/>
      <c r="C130" s="1">
        <v>-4</v>
      </c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idden="1" x14ac:dyDescent="0.3">
      <c r="A131" s="25">
        <v>2000000</v>
      </c>
      <c r="B131"/>
      <c r="C131" s="1">
        <v>-3</v>
      </c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idden="1" x14ac:dyDescent="0.3">
      <c r="A132" s="25">
        <v>2500000</v>
      </c>
      <c r="B132"/>
      <c r="C132" s="1">
        <v>-2</v>
      </c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idden="1" x14ac:dyDescent="0.3">
      <c r="A133" s="25">
        <v>3000000</v>
      </c>
      <c r="B133"/>
      <c r="C133" s="1">
        <v>-1</v>
      </c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idden="1" x14ac:dyDescent="0.3">
      <c r="A134"/>
      <c r="B134"/>
      <c r="C134">
        <v>0</v>
      </c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idden="1" x14ac:dyDescent="0.3">
      <c r="A135" t="s">
        <v>126</v>
      </c>
      <c r="B135"/>
      <c r="C135">
        <v>1</v>
      </c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idden="1" x14ac:dyDescent="0.3">
      <c r="A136" s="25">
        <v>0</v>
      </c>
      <c r="B136"/>
      <c r="C136">
        <v>2</v>
      </c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idden="1" x14ac:dyDescent="0.3">
      <c r="A137" s="25">
        <v>250000</v>
      </c>
      <c r="B137"/>
      <c r="C137">
        <v>3</v>
      </c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idden="1" x14ac:dyDescent="0.3">
      <c r="A138" s="25">
        <v>500000</v>
      </c>
      <c r="B138"/>
      <c r="C138">
        <v>4</v>
      </c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idden="1" x14ac:dyDescent="0.3">
      <c r="A139" s="25">
        <v>750000</v>
      </c>
      <c r="B139"/>
      <c r="C139">
        <v>5</v>
      </c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idden="1" x14ac:dyDescent="0.3">
      <c r="A140" s="25">
        <v>1000000</v>
      </c>
      <c r="B140"/>
      <c r="C140">
        <v>6</v>
      </c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idden="1" x14ac:dyDescent="0.3">
      <c r="A141" s="25">
        <v>1250000</v>
      </c>
      <c r="B141"/>
      <c r="C141">
        <v>7</v>
      </c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idden="1" x14ac:dyDescent="0.3">
      <c r="A142" s="25">
        <v>1500000</v>
      </c>
      <c r="B142"/>
      <c r="C142">
        <v>8</v>
      </c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idden="1" x14ac:dyDescent="0.3">
      <c r="A143" s="25">
        <v>1750000</v>
      </c>
      <c r="B143"/>
      <c r="C143">
        <v>9</v>
      </c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idden="1" x14ac:dyDescent="0.3">
      <c r="A144" s="25">
        <v>2000000</v>
      </c>
      <c r="B144"/>
      <c r="C144">
        <v>10</v>
      </c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idden="1" x14ac:dyDescent="0.3">
      <c r="A145"/>
      <c r="B145"/>
      <c r="C145">
        <v>11</v>
      </c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idden="1" x14ac:dyDescent="0.3">
      <c r="C146">
        <v>12</v>
      </c>
    </row>
    <row r="147" spans="1:32" hidden="1" x14ac:dyDescent="0.3">
      <c r="C147">
        <v>13</v>
      </c>
    </row>
    <row r="148" spans="1:32" hidden="1" x14ac:dyDescent="0.3">
      <c r="C148">
        <v>14</v>
      </c>
    </row>
    <row r="149" spans="1:32" hidden="1" x14ac:dyDescent="0.3">
      <c r="C149">
        <v>15</v>
      </c>
    </row>
    <row r="150" spans="1:32" hidden="1" x14ac:dyDescent="0.3">
      <c r="C150">
        <v>16</v>
      </c>
    </row>
    <row r="151" spans="1:32" hidden="1" x14ac:dyDescent="0.3">
      <c r="C151">
        <v>17</v>
      </c>
    </row>
    <row r="152" spans="1:32" hidden="1" x14ac:dyDescent="0.3">
      <c r="C152">
        <v>18</v>
      </c>
    </row>
    <row r="153" spans="1:32" hidden="1" x14ac:dyDescent="0.3">
      <c r="C153">
        <v>19</v>
      </c>
    </row>
    <row r="154" spans="1:32" hidden="1" x14ac:dyDescent="0.3">
      <c r="C154">
        <v>20</v>
      </c>
    </row>
  </sheetData>
  <sheetProtection algorithmName="SHA-512" hashValue="8E+Jj6YPwEwYTuaEtmLtRfsOlIsvvJpTpxKrcK1l0Hob0792+L5RffEJL01E7N1jrsHiaUVx6KtzICWQXwpuhg==" saltValue="ZTRBBi0htzjJYqeDw6lqqg==" spinCount="100000" sheet="1" objects="1" scenarios="1" selectLockedCells="1"/>
  <protectedRanges>
    <protectedRange algorithmName="SHA-512" hashValue="2PrIs1GdtiMF/4oaw9SvbC80tNLn51Lxp0mFoHbp1hMf+RbOY4L0rj5ZQ5/17hJb+N3uKAsE0X+ZzAVNQKUiVw==" saltValue="+86TTsjGXE5DGUvmD+DPnA==" spinCount="100000" sqref="G8 G14 G21 Q8 Q14 Q26 Q30 Q35 Q40 G31 G42 Q48" name="INPUT"/>
  </protectedRanges>
  <mergeCells count="29">
    <mergeCell ref="G42:H44"/>
    <mergeCell ref="G30:H30"/>
    <mergeCell ref="G31:H32"/>
    <mergeCell ref="G39:H39"/>
    <mergeCell ref="G40:H40"/>
    <mergeCell ref="G41:H41"/>
    <mergeCell ref="Q14:R15"/>
    <mergeCell ref="Q25:R25"/>
    <mergeCell ref="G7:H7"/>
    <mergeCell ref="G8:H9"/>
    <mergeCell ref="G13:H13"/>
    <mergeCell ref="G14:H15"/>
    <mergeCell ref="G19:H19"/>
    <mergeCell ref="Q47:R47"/>
    <mergeCell ref="Q48:R50"/>
    <mergeCell ref="Q40:R42"/>
    <mergeCell ref="A1:R1"/>
    <mergeCell ref="A2:R2"/>
    <mergeCell ref="Q26:R27"/>
    <mergeCell ref="Q29:R29"/>
    <mergeCell ref="Q30:R32"/>
    <mergeCell ref="Q34:R34"/>
    <mergeCell ref="Q35:R37"/>
    <mergeCell ref="Q39:R39"/>
    <mergeCell ref="G20:H20"/>
    <mergeCell ref="G21:H25"/>
    <mergeCell ref="Q7:R7"/>
    <mergeCell ref="Q8:R9"/>
    <mergeCell ref="Q13:R13"/>
  </mergeCells>
  <dataValidations count="6">
    <dataValidation type="list" allowBlank="1" showInputMessage="1" showErrorMessage="1" sqref="G8:H9" xr:uid="{CDF767DC-E133-4275-81A8-6C1272E5345D}">
      <formula1>A114:A120</formula1>
    </dataValidation>
    <dataValidation type="list" allowBlank="1" showInputMessage="1" showErrorMessage="1" sqref="G21:H25" xr:uid="{9D4915F2-E894-4FEA-91A5-FBB6406A8027}">
      <formula1>$A$123:$A$124</formula1>
    </dataValidation>
    <dataValidation type="list" allowBlank="1" showInputMessage="1" showErrorMessage="1" sqref="Q8:R9 Q14:R15 G14:H15 G31:H32" xr:uid="{52762C11-631F-42E1-A372-FCFDF82452E4}">
      <formula1>$A$114:$A$120</formula1>
    </dataValidation>
    <dataValidation type="list" allowBlank="1" showInputMessage="1" showErrorMessage="1" sqref="Q26:R27 Q40:R42 Q30:R32 Q35:R37" xr:uid="{A0286B07-8E62-410C-A40A-2A28AF6BCE45}">
      <formula1>$A$127:$A$133</formula1>
    </dataValidation>
    <dataValidation type="list" allowBlank="1" showInputMessage="1" showErrorMessage="1" sqref="G42:H44" xr:uid="{FD3306A1-BD69-4B51-BC09-1C45B5368EDD}">
      <formula1>$C$114:$C$154</formula1>
    </dataValidation>
    <dataValidation type="list" allowBlank="1" showInputMessage="1" showErrorMessage="1" sqref="Q48:R50" xr:uid="{BC444399-72E7-424F-AE1F-C7211430EEBD}">
      <formula1>$A$136:$A$144</formula1>
    </dataValidation>
  </dataValidation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NOVATO FORECAST</vt:lpstr>
      <vt:lpstr>'NOVATO FORECAST'!Print_Area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Heath</dc:creator>
  <cp:lastModifiedBy>Sherin Olivero</cp:lastModifiedBy>
  <cp:lastPrinted>2024-08-18T18:56:22Z</cp:lastPrinted>
  <dcterms:created xsi:type="dcterms:W3CDTF">2024-08-18T14:59:08Z</dcterms:created>
  <dcterms:modified xsi:type="dcterms:W3CDTF">2024-10-09T02:03:35Z</dcterms:modified>
</cp:coreProperties>
</file>